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20" windowHeight="7860" tabRatio="696" firstSheet="5" activeTab="8"/>
  </bookViews>
  <sheets>
    <sheet name="Оплата БАНК 1,2,3,4 кв-лы 2022" sheetId="1" r:id="rId1"/>
    <sheet name="2022(пеня)" sheetId="2" r:id="rId2"/>
    <sheet name="оплата 2014-2022г" sheetId="3" r:id="rId3"/>
    <sheet name="сведения начисления" sheetId="4" r:id="rId4"/>
    <sheet name="переплата пени Администрация" sheetId="5" r:id="rId5"/>
    <sheet name="пеня 2023" sheetId="6" r:id="rId6"/>
    <sheet name="Оплата БАНК 1,2,3,4 кв-лы 2023" sheetId="7" r:id="rId7"/>
    <sheet name="оплата 2014-2023" sheetId="8" r:id="rId8"/>
    <sheet name="для Кати свод общий (оплата)" sheetId="9" r:id="rId9"/>
  </sheets>
  <definedNames/>
  <calcPr fullCalcOnLoad="1"/>
</workbook>
</file>

<file path=xl/sharedStrings.xml><?xml version="1.0" encoding="utf-8"?>
<sst xmlns="http://schemas.openxmlformats.org/spreadsheetml/2006/main" count="2719" uniqueCount="496">
  <si>
    <t xml:space="preserve">                                                                   </t>
  </si>
  <si>
    <t>Дома</t>
  </si>
  <si>
    <t>Физлица(население)</t>
  </si>
  <si>
    <t>Муниципальные</t>
  </si>
  <si>
    <t xml:space="preserve">Юрлица </t>
  </si>
  <si>
    <t xml:space="preserve">Начисление </t>
  </si>
  <si>
    <t>Оплата</t>
  </si>
  <si>
    <t>Остаток</t>
  </si>
  <si>
    <t>Юбил.- 44</t>
  </si>
  <si>
    <t>Олим.-1</t>
  </si>
  <si>
    <t>Олим.-2</t>
  </si>
  <si>
    <t>Олим.-4</t>
  </si>
  <si>
    <t>Олим.-5</t>
  </si>
  <si>
    <t>Олим.-7</t>
  </si>
  <si>
    <t>Олим.-10</t>
  </si>
  <si>
    <t>Олим.-14</t>
  </si>
  <si>
    <t>Олим.-32</t>
  </si>
  <si>
    <t>ЛЕН.-16</t>
  </si>
  <si>
    <t>Мир.-2</t>
  </si>
  <si>
    <t>Строит.-16</t>
  </si>
  <si>
    <t>Строит.-17</t>
  </si>
  <si>
    <t>ИТОГО</t>
  </si>
  <si>
    <t>Сальдо</t>
  </si>
  <si>
    <t>ПЕНЯ</t>
  </si>
  <si>
    <t>ООО "Искра"</t>
  </si>
  <si>
    <t>задолженость</t>
  </si>
  <si>
    <t>оплата</t>
  </si>
  <si>
    <t xml:space="preserve">Сальдо </t>
  </si>
  <si>
    <t>январь</t>
  </si>
  <si>
    <t>февраль</t>
  </si>
  <si>
    <t>март</t>
  </si>
  <si>
    <t>апрель</t>
  </si>
  <si>
    <t>май</t>
  </si>
  <si>
    <t>Начисление</t>
  </si>
  <si>
    <t>задолженность</t>
  </si>
  <si>
    <t>сальдо</t>
  </si>
  <si>
    <t>начисление</t>
  </si>
  <si>
    <t>задолж-ть</t>
  </si>
  <si>
    <t>июнь</t>
  </si>
  <si>
    <t>выполн. работ</t>
  </si>
  <si>
    <t>остаток на счете</t>
  </si>
  <si>
    <t>июль</t>
  </si>
  <si>
    <t>август</t>
  </si>
  <si>
    <t>сентябрь</t>
  </si>
  <si>
    <t>октябрь</t>
  </si>
  <si>
    <t>ноябрь</t>
  </si>
  <si>
    <t>декабрь</t>
  </si>
  <si>
    <t>Юбил.- 17</t>
  </si>
  <si>
    <t>Юбил.- 67</t>
  </si>
  <si>
    <t>Строит.-15</t>
  </si>
  <si>
    <t>Юбил.-17</t>
  </si>
  <si>
    <t>Юбил.-67</t>
  </si>
  <si>
    <t>КАПИТАЛЬНЫЙ РЕМОНТ: НАЧИСЛЕНО, СОБРАНО, ИЗРАСХОДОВАНО.</t>
  </si>
  <si>
    <t>Юбил.- 43</t>
  </si>
  <si>
    <t>Строит.-13</t>
  </si>
  <si>
    <t>Олим.-12</t>
  </si>
  <si>
    <t>% банка</t>
  </si>
  <si>
    <t>ост в банке</t>
  </si>
  <si>
    <t>коррект</t>
  </si>
  <si>
    <t>НОЯБРЬ</t>
  </si>
  <si>
    <t>ИЮЛЬ</t>
  </si>
  <si>
    <t>АВГУСТ</t>
  </si>
  <si>
    <t>СЕНТЯБРЬ</t>
  </si>
  <si>
    <t>ОКТЯБРЬ</t>
  </si>
  <si>
    <t>Сторно</t>
  </si>
  <si>
    <t>КОРРЕКТИРОВКА</t>
  </si>
  <si>
    <t>ПЕНЯ   ( ркц)</t>
  </si>
  <si>
    <t xml:space="preserve">ПЕНЯ </t>
  </si>
  <si>
    <t>ОПЛАТА РКЦ</t>
  </si>
  <si>
    <t>ЮРИКИ</t>
  </si>
  <si>
    <t>(ОПЛАТА)</t>
  </si>
  <si>
    <t>МУНИЦИПАЛ.</t>
  </si>
  <si>
    <t>ИТОГО К ПЕРЕЧИСЛ</t>
  </si>
  <si>
    <t>ЯНВАРЬ</t>
  </si>
  <si>
    <t>ПЕНЯ ркц</t>
  </si>
  <si>
    <t xml:space="preserve">ИТОГО </t>
  </si>
  <si>
    <t>АПРЕЛЬ</t>
  </si>
  <si>
    <t>Начисление  янв-дек</t>
  </si>
  <si>
    <t>Оплата янв.дек</t>
  </si>
  <si>
    <t xml:space="preserve"> за ЯНВАРЬ</t>
  </si>
  <si>
    <t>за февраль</t>
  </si>
  <si>
    <t>ПЕНЯ U32,T56,T80</t>
  </si>
  <si>
    <t>МУНИЦИПАЛЬНЫЕ(КУИ)</t>
  </si>
  <si>
    <t>ЗА МАРТ</t>
  </si>
  <si>
    <t xml:space="preserve">ИТОГО к перечислению </t>
  </si>
  <si>
    <t>задолж-ть за кварт.</t>
  </si>
  <si>
    <t>задолженность за насел.</t>
  </si>
  <si>
    <t>остаток за насел.</t>
  </si>
  <si>
    <t>итого</t>
  </si>
  <si>
    <t>фкр</t>
  </si>
  <si>
    <t>Искра</t>
  </si>
  <si>
    <t xml:space="preserve">  ООО  "ИСКРА"  Перечисление  кап.ремонт</t>
  </si>
  <si>
    <t>ИСКРА</t>
  </si>
  <si>
    <t>разноска  с отчета РКЦ+муниц, юрики пеня</t>
  </si>
  <si>
    <t>РКЦ</t>
  </si>
  <si>
    <t>МУНИЦИП.</t>
  </si>
  <si>
    <t>МУНИЦ,(КУИ)</t>
  </si>
  <si>
    <t>Муниципальные (КУИ)</t>
  </si>
  <si>
    <t>Физлица(население) ОТЧЕТ  РКЦ</t>
  </si>
  <si>
    <r>
      <t>ИТОГО К ПЕРЕЧ.</t>
    </r>
    <r>
      <rPr>
        <b/>
        <sz val="14"/>
        <color indexed="10"/>
        <rFont val="Arial"/>
        <family val="2"/>
      </rPr>
      <t xml:space="preserve"> СЕНТЯБРЬ</t>
    </r>
  </si>
  <si>
    <r>
      <t>ИТОГО К ПЕРЕЧ.</t>
    </r>
    <r>
      <rPr>
        <b/>
        <sz val="14"/>
        <color indexed="10"/>
        <rFont val="Arial"/>
        <family val="2"/>
      </rPr>
      <t xml:space="preserve"> НОЯБРЬ</t>
    </r>
  </si>
  <si>
    <t>на 01.11.2019</t>
  </si>
  <si>
    <t xml:space="preserve">Оплата </t>
  </si>
  <si>
    <r>
      <t>ИТОГО К ПЕРЕЧ.</t>
    </r>
    <r>
      <rPr>
        <b/>
        <sz val="14"/>
        <color indexed="10"/>
        <rFont val="Arial"/>
        <family val="2"/>
      </rPr>
      <t xml:space="preserve"> Декабрь</t>
    </r>
  </si>
  <si>
    <t>РКЦ (пеня)</t>
  </si>
  <si>
    <t>ИТОГО К ПЕРЕЧ. ИЮНЬ</t>
  </si>
  <si>
    <t>начисл</t>
  </si>
  <si>
    <t>опл</t>
  </si>
  <si>
    <t>ПЕНЯ оплачивается сразу</t>
  </si>
  <si>
    <t>начислено</t>
  </si>
  <si>
    <t>оплачено</t>
  </si>
  <si>
    <t>РКЦ(пеня)</t>
  </si>
  <si>
    <t xml:space="preserve">начислено </t>
  </si>
  <si>
    <t>РКЦ пеня</t>
  </si>
  <si>
    <t>Лен.-12</t>
  </si>
  <si>
    <t>Олим.-31</t>
  </si>
  <si>
    <t xml:space="preserve">ПЕНЯ оплачивается сразу </t>
  </si>
  <si>
    <t xml:space="preserve">РКЦ пеня </t>
  </si>
  <si>
    <t>Олимп. -31</t>
  </si>
  <si>
    <t>искра</t>
  </si>
  <si>
    <t>олимп 31</t>
  </si>
  <si>
    <t xml:space="preserve">февраль </t>
  </si>
  <si>
    <t>Апрель</t>
  </si>
  <si>
    <t>Лен. 12</t>
  </si>
  <si>
    <t>Олимпий.-31</t>
  </si>
  <si>
    <t>Май</t>
  </si>
  <si>
    <t xml:space="preserve">дома </t>
  </si>
  <si>
    <t>Итого:</t>
  </si>
  <si>
    <t>Март</t>
  </si>
  <si>
    <t>Июнь</t>
  </si>
  <si>
    <t>Июль</t>
  </si>
  <si>
    <t xml:space="preserve">Август </t>
  </si>
  <si>
    <t xml:space="preserve">Сентябрь </t>
  </si>
  <si>
    <r>
      <t xml:space="preserve">Физлица(население) </t>
    </r>
    <r>
      <rPr>
        <b/>
        <sz val="14"/>
        <color indexed="10"/>
        <rFont val="Times New Roman"/>
        <family val="1"/>
      </rPr>
      <t>Р К Ц</t>
    </r>
  </si>
  <si>
    <t>дома</t>
  </si>
  <si>
    <t>Январь</t>
  </si>
  <si>
    <r>
      <t xml:space="preserve">                СВОД   ВЗНОСОВ ПО    КАПРЕМОНТУ  за</t>
    </r>
    <r>
      <rPr>
        <b/>
        <sz val="14"/>
        <color indexed="10"/>
        <rFont val="Arial"/>
        <family val="2"/>
      </rPr>
      <t xml:space="preserve"> август</t>
    </r>
    <r>
      <rPr>
        <b/>
        <sz val="14"/>
        <rFont val="Arial"/>
        <family val="2"/>
      </rPr>
      <t xml:space="preserve"> 2020</t>
    </r>
  </si>
  <si>
    <t>Лен.12</t>
  </si>
  <si>
    <t>Октябрь</t>
  </si>
  <si>
    <t>ЛЕН.-12</t>
  </si>
  <si>
    <t>Олимпий._31</t>
  </si>
  <si>
    <t>Олимпий. 31</t>
  </si>
  <si>
    <t>Ноябрь</t>
  </si>
  <si>
    <t>Декабрь</t>
  </si>
  <si>
    <t>Юбил.-44</t>
  </si>
  <si>
    <t xml:space="preserve">пеня +физ.лица оплата </t>
  </si>
  <si>
    <t>оплата пеня + физ. Лица</t>
  </si>
  <si>
    <t>корректировка</t>
  </si>
  <si>
    <t xml:space="preserve">ВСЕГО за 1 квартал </t>
  </si>
  <si>
    <t>Олимпи -31</t>
  </si>
  <si>
    <t>олимпи 31</t>
  </si>
  <si>
    <t>оплата пеня + физ.</t>
  </si>
  <si>
    <t>пеня +физ.лица</t>
  </si>
  <si>
    <t xml:space="preserve">пеня +физ.лица </t>
  </si>
  <si>
    <t>ИТОГО ЗА МАЙ</t>
  </si>
  <si>
    <t>всего за 2 квартал</t>
  </si>
  <si>
    <t xml:space="preserve">физ.лица +пеня </t>
  </si>
  <si>
    <r>
      <t xml:space="preserve">ИТОГО </t>
    </r>
    <r>
      <rPr>
        <b/>
        <sz val="14"/>
        <color indexed="10"/>
        <rFont val="Times New Roman"/>
        <family val="1"/>
      </rPr>
      <t>ИЮЛЬ</t>
    </r>
  </si>
  <si>
    <r>
      <t xml:space="preserve">ИТОГО </t>
    </r>
    <r>
      <rPr>
        <b/>
        <sz val="14"/>
        <color indexed="10"/>
        <rFont val="Arial"/>
        <family val="2"/>
      </rPr>
      <t xml:space="preserve"> АВГУСТ</t>
    </r>
  </si>
  <si>
    <t xml:space="preserve">физ. Лица и пеня </t>
  </si>
  <si>
    <t xml:space="preserve">физ.лица и пеня </t>
  </si>
  <si>
    <r>
      <t xml:space="preserve">ИТОГО </t>
    </r>
    <r>
      <rPr>
        <b/>
        <sz val="14"/>
        <color indexed="10"/>
        <rFont val="Arial"/>
        <family val="2"/>
      </rPr>
      <t xml:space="preserve"> ОКТЯБРЬ</t>
    </r>
  </si>
  <si>
    <t>физ.лица +пеня</t>
  </si>
  <si>
    <t>всего за 3 квартал</t>
  </si>
  <si>
    <t xml:space="preserve">оплата физ. лица и пеня </t>
  </si>
  <si>
    <t>всего за 4 квартал</t>
  </si>
  <si>
    <t>//////</t>
  </si>
  <si>
    <t>/////</t>
  </si>
  <si>
    <t>ИТОГО: пеня +юрики +мун.</t>
  </si>
  <si>
    <t>юрики +мун.</t>
  </si>
  <si>
    <t xml:space="preserve"> Начисления и оплата ; март апрель май </t>
  </si>
  <si>
    <t>остаток</t>
  </si>
  <si>
    <t xml:space="preserve">остаток </t>
  </si>
  <si>
    <t>на 01.06.</t>
  </si>
  <si>
    <t xml:space="preserve">В бухгалтерию на оплату по кварталам </t>
  </si>
  <si>
    <t>3 квартал 2021</t>
  </si>
  <si>
    <t>4 квартал 2021</t>
  </si>
  <si>
    <t xml:space="preserve">сентябрь 2021 год физ. Лица + юрики 3 квартал 2021 года </t>
  </si>
  <si>
    <t xml:space="preserve">сентябрь 2021  пеня + физ. Лица </t>
  </si>
  <si>
    <t xml:space="preserve">октябрь   2021  физ.лица +пеня </t>
  </si>
  <si>
    <t>Сальдо за 2014-2021г.</t>
  </si>
  <si>
    <r>
      <t xml:space="preserve">                  ВЗНОСЫ  ПО    КАПРЕМОНТУ  ЗА ЯНВАРЬ </t>
    </r>
    <r>
      <rPr>
        <u val="single"/>
        <sz val="14"/>
        <rFont val="Arial"/>
        <family val="2"/>
      </rPr>
      <t xml:space="preserve"> </t>
    </r>
  </si>
  <si>
    <t>Остаток на 31.01.</t>
  </si>
  <si>
    <t>Оплата на 31.01.</t>
  </si>
  <si>
    <t>С-ДО НА 31.12.21</t>
  </si>
  <si>
    <t xml:space="preserve">декабрь </t>
  </si>
  <si>
    <t>начисления и оплата дек янва фев</t>
  </si>
  <si>
    <t>итого:</t>
  </si>
  <si>
    <t>ленинград.-5</t>
  </si>
  <si>
    <t>ленинград.-7</t>
  </si>
  <si>
    <t>Лени. .-5</t>
  </si>
  <si>
    <t>лен.-7</t>
  </si>
  <si>
    <t>лен.-5</t>
  </si>
  <si>
    <t>лен - 7</t>
  </si>
  <si>
    <t xml:space="preserve">многоквартирного дома по адресу:   </t>
  </si>
  <si>
    <t>Адрес многоквартирного дома</t>
  </si>
  <si>
    <t>Площадь жилых и нежилых помещений в многоквар-тирном доме, м2</t>
  </si>
  <si>
    <t>Минимальный размер взноса на капитальный ремонт общего имущества в данном МКД, руб./м2</t>
  </si>
  <si>
    <t>юбилей.-44</t>
  </si>
  <si>
    <r>
      <t>Начисленная сумма взносов за отчетный период, руб.</t>
    </r>
    <r>
      <rPr>
        <sz val="12"/>
        <color indexed="10"/>
        <rFont val="Times New Roman"/>
        <family val="1"/>
      </rPr>
      <t xml:space="preserve"> II квартал </t>
    </r>
  </si>
  <si>
    <r>
      <t>Начисленная сумма взносов за отчетный период, руб.</t>
    </r>
    <r>
      <rPr>
        <sz val="12"/>
        <color indexed="10"/>
        <rFont val="Times New Roman"/>
        <family val="1"/>
      </rPr>
      <t xml:space="preserve"> III квартал </t>
    </r>
  </si>
  <si>
    <r>
      <t>Начисленная сумма взносов за отчетный период, руб.</t>
    </r>
    <r>
      <rPr>
        <sz val="12"/>
        <color indexed="10"/>
        <rFont val="Times New Roman"/>
        <family val="1"/>
      </rPr>
      <t xml:space="preserve"> 4 квартал </t>
    </r>
  </si>
  <si>
    <t>на 01.06.2021</t>
  </si>
  <si>
    <t xml:space="preserve">физ и пеня </t>
  </si>
  <si>
    <t xml:space="preserve">начисление </t>
  </si>
  <si>
    <t>на 01.08.</t>
  </si>
  <si>
    <t>задолженость на 01.09.</t>
  </si>
  <si>
    <t>Сальдо на 01.07.г (с 2014 по июнь 20)</t>
  </si>
  <si>
    <t>лен 12</t>
  </si>
  <si>
    <t xml:space="preserve">% сбора </t>
  </si>
  <si>
    <t>на 01.09.</t>
  </si>
  <si>
    <t>Остаток на 01.10. г.</t>
  </si>
  <si>
    <t>С-ДО НА 01.10.</t>
  </si>
  <si>
    <t>задолженость на 01.10.</t>
  </si>
  <si>
    <t>задолженость на 01.10.г.</t>
  </si>
  <si>
    <t>Олимпий -13</t>
  </si>
  <si>
    <t>олимпий -13</t>
  </si>
  <si>
    <t>олимпи 13</t>
  </si>
  <si>
    <t>олимпий 13</t>
  </si>
  <si>
    <t>олим 13</t>
  </si>
  <si>
    <t xml:space="preserve">Остаток на 01.11. </t>
  </si>
  <si>
    <t>на 01.10.</t>
  </si>
  <si>
    <t>С-ДО НА 01.11.</t>
  </si>
  <si>
    <t>задолженость на 01.11.</t>
  </si>
  <si>
    <t>задолженость на 01.12.</t>
  </si>
  <si>
    <t>на 01.11.</t>
  </si>
  <si>
    <t>Остаток НА 01.12.</t>
  </si>
  <si>
    <t>С-ДО НА 01.12.</t>
  </si>
  <si>
    <t>физ лица + пеня</t>
  </si>
  <si>
    <t>сентябрь, октябрь ,ноябрь</t>
  </si>
  <si>
    <t>ленингра 7а</t>
  </si>
  <si>
    <t>ленинградский 7а</t>
  </si>
  <si>
    <r>
      <t xml:space="preserve">                СВОД   ВЗНОСОВ ПО    КАПРЕМОНТУ  ЗА  </t>
    </r>
    <r>
      <rPr>
        <b/>
        <sz val="14"/>
        <color indexed="10"/>
        <rFont val="Arial"/>
        <family val="2"/>
      </rPr>
      <t>ДЕКАБРЬ</t>
    </r>
    <r>
      <rPr>
        <b/>
        <sz val="14"/>
        <rFont val="Arial"/>
        <family val="2"/>
      </rPr>
      <t xml:space="preserve">  </t>
    </r>
  </si>
  <si>
    <t>на 01.12.</t>
  </si>
  <si>
    <t>Остаток на 31.12. г.</t>
  </si>
  <si>
    <t>С-ДО НА 31.12.</t>
  </si>
  <si>
    <t xml:space="preserve">задолженость на 31.12. </t>
  </si>
  <si>
    <t>задолженость на 31.12.</t>
  </si>
  <si>
    <t>ленинград.-7А</t>
  </si>
  <si>
    <t>лен 7а</t>
  </si>
  <si>
    <t xml:space="preserve">декабрь 2021 год физ. Лица +пеня и юрики 4 квартал 2021 год </t>
  </si>
  <si>
    <t>1 квартал 2022г.</t>
  </si>
  <si>
    <t>2022  1 КВ-Л</t>
  </si>
  <si>
    <t>2022  2 КВ-Л</t>
  </si>
  <si>
    <t>2022  3 КВ-Л</t>
  </si>
  <si>
    <t>2022  4 КВ-Л</t>
  </si>
  <si>
    <t>ВСЕГО оплата 2022 года на 1 января</t>
  </si>
  <si>
    <t xml:space="preserve">депозит </t>
  </si>
  <si>
    <t xml:space="preserve">2022 год </t>
  </si>
  <si>
    <t>ленинградский 7А</t>
  </si>
  <si>
    <t>ленингр. 7А</t>
  </si>
  <si>
    <t>олимпий.-13</t>
  </si>
  <si>
    <t>ленинг. 7А</t>
  </si>
  <si>
    <t>ленинг.-7А</t>
  </si>
  <si>
    <t>ленингра -7А</t>
  </si>
  <si>
    <t>лениниградский 7А</t>
  </si>
  <si>
    <t>олимп 13</t>
  </si>
  <si>
    <t>ленинг 7А</t>
  </si>
  <si>
    <r>
      <t xml:space="preserve">        СВОД   НАЧИСЛЕНИЙ И ОПЛАТЫ  ВЗНОСОВ ПО КАПРЕМОНТУ за  ЯНВАРЬ</t>
    </r>
    <r>
      <rPr>
        <b/>
        <i/>
        <u val="single"/>
        <sz val="14"/>
        <color indexed="10"/>
        <rFont val="Arial"/>
        <family val="2"/>
      </rPr>
      <t xml:space="preserve"> 2022 -декабрь 2022г.</t>
    </r>
  </si>
  <si>
    <t xml:space="preserve">январь 2022 пеня + физ. Лица </t>
  </si>
  <si>
    <t xml:space="preserve">Февраль 2022  физ.лица +пеня </t>
  </si>
  <si>
    <t>на 01.01.2022</t>
  </si>
  <si>
    <t>Остаток на 31.12.2022 г.</t>
  </si>
  <si>
    <t>итотго</t>
  </si>
  <si>
    <t>2022 ГОД</t>
  </si>
  <si>
    <t>2 квартал 2022г.</t>
  </si>
  <si>
    <t>ИТОГО за весь период 2014 по 2022г.</t>
  </si>
  <si>
    <t>задолж-ть на 31.12.2022 г.</t>
  </si>
  <si>
    <t>на 01.01.202</t>
  </si>
  <si>
    <t>задолж.на 31.12.2022 г.</t>
  </si>
  <si>
    <t>Сальдо на 01.01.2022</t>
  </si>
  <si>
    <t>Остаток на 31.01.2022</t>
  </si>
  <si>
    <t>Сальдо 01.01.2022</t>
  </si>
  <si>
    <t>задолженость на 31.12.2022</t>
  </si>
  <si>
    <t>Остаток 31.01.2022</t>
  </si>
  <si>
    <t>с 2014 на январь 2022</t>
  </si>
  <si>
    <r>
      <t>Начисленная сумма взносов за отчетный период, руб.</t>
    </r>
    <r>
      <rPr>
        <sz val="12"/>
        <color indexed="10"/>
        <rFont val="Times New Roman"/>
        <family val="1"/>
      </rPr>
      <t xml:space="preserve"> I квартал </t>
    </r>
  </si>
  <si>
    <t xml:space="preserve">физ лица начисления </t>
  </si>
  <si>
    <t>январь 2022 год</t>
  </si>
  <si>
    <t xml:space="preserve">выполненные работы 2021 2022 </t>
  </si>
  <si>
    <r>
      <t xml:space="preserve">        СВОД  ОПЛАТЫ  ВЗНОСОВ ПО КАПРЕМОНТУ ЗА ПЕРИОД С СЕНТЯБРЯ </t>
    </r>
    <r>
      <rPr>
        <b/>
        <i/>
        <u val="single"/>
        <sz val="10"/>
        <rFont val="Arial"/>
        <family val="2"/>
      </rPr>
      <t xml:space="preserve"> 2014 по 2022г.</t>
    </r>
  </si>
  <si>
    <t xml:space="preserve">Остаток +депозит </t>
  </si>
  <si>
    <t xml:space="preserve">март 2022  пеня + физ. Лица </t>
  </si>
  <si>
    <t>К ПЕРЕЧИСЛЕНИЮ ЗА 1 КВАРТАЛ 2022 Г</t>
  </si>
  <si>
    <t xml:space="preserve">Май 2022  физ.лица +пеня </t>
  </si>
  <si>
    <t xml:space="preserve">Апрель 2022  физ.лица +пеня </t>
  </si>
  <si>
    <t xml:space="preserve">март  2022 год физ. Лица  и юрики 1 квартал 2022 года </t>
  </si>
  <si>
    <t>%  из банка и фкр</t>
  </si>
  <si>
    <t xml:space="preserve">выполненные работы 2022 </t>
  </si>
  <si>
    <t xml:space="preserve">  ИТОГО за МАЙ  2022г.(ОПЛАТА)</t>
  </si>
  <si>
    <t>на 01.05.</t>
  </si>
  <si>
    <t>ИТОГО за  2022г.</t>
  </si>
  <si>
    <t xml:space="preserve">  ИТОГО за ИЮНЬ  2022г.(ОПЛАТА)</t>
  </si>
  <si>
    <t>К ПЕРЕЧИСЛЕНИЮ ЗА 2 КВАРТАЛ 2022 Г</t>
  </si>
  <si>
    <t>ИТОГО за январь-июнь 2022г.</t>
  </si>
  <si>
    <t>ИТОГО за весь период 2014 по июнь 2022г.</t>
  </si>
  <si>
    <t xml:space="preserve">июнь 2022 год физ. Лица и юрики 2 квартал 2021 года </t>
  </si>
  <si>
    <t xml:space="preserve">июнь 2022  пеня + физ. Лица </t>
  </si>
  <si>
    <t xml:space="preserve">июль  2022  физ.лица +пеня </t>
  </si>
  <si>
    <t xml:space="preserve">август 2022  физ.лица +пеня </t>
  </si>
  <si>
    <t xml:space="preserve">Олимпийский - 6 </t>
  </si>
  <si>
    <t>олимпийский д. 6</t>
  </si>
  <si>
    <t>олимпийский -6</t>
  </si>
  <si>
    <t>олимпийский д.6</t>
  </si>
  <si>
    <t>олимпий 6</t>
  </si>
  <si>
    <t>олимпийский 6</t>
  </si>
  <si>
    <t>олимп 6</t>
  </si>
  <si>
    <t xml:space="preserve">                СВОД   ВЗНОСОВ ПО    КАПРЕМОНТУ  за июль  2022</t>
  </si>
  <si>
    <t>на 01.07.2022</t>
  </si>
  <si>
    <t>на 01.07.</t>
  </si>
  <si>
    <t>С-ДО НА 31.08</t>
  </si>
  <si>
    <t xml:space="preserve">  ИТОГО за ИЮЛЬ  2022г.(ОПЛАТА)</t>
  </si>
  <si>
    <t>Остаток на  01.09.</t>
  </si>
  <si>
    <t>С-ДО НА 31.09.</t>
  </si>
  <si>
    <t xml:space="preserve">  ИТОГО за АВГУСТ  2022г.(ОПЛАТА)</t>
  </si>
  <si>
    <t xml:space="preserve">юбилейный 65 </t>
  </si>
  <si>
    <t>юбилейный -65</t>
  </si>
  <si>
    <t>юбилейный 65</t>
  </si>
  <si>
    <r>
      <t xml:space="preserve">                СВОД   ВЗНОСОВ ПО    КАПРЕМОНТУ  за </t>
    </r>
    <r>
      <rPr>
        <b/>
        <sz val="14"/>
        <color indexed="10"/>
        <rFont val="Arial"/>
        <family val="2"/>
      </rPr>
      <t>сентябрь</t>
    </r>
    <r>
      <rPr>
        <b/>
        <sz val="14"/>
        <rFont val="Arial"/>
        <family val="2"/>
      </rPr>
      <t xml:space="preserve">   2022</t>
    </r>
  </si>
  <si>
    <t xml:space="preserve">  ИТОГО за СЕНТЯБРЬ  2022г.(ОПЛАТА)</t>
  </si>
  <si>
    <t xml:space="preserve">              К ПЕРЕЧИСЛЕНИЮ ЗА 3 КВАРТАЛ 2022 Г</t>
  </si>
  <si>
    <t>юбилейный .65</t>
  </si>
  <si>
    <r>
      <t xml:space="preserve">                СВОД   ВЗНОСОВ ПО    КАПРЕМОНТУ  за </t>
    </r>
    <r>
      <rPr>
        <b/>
        <sz val="14"/>
        <color indexed="10"/>
        <rFont val="Arial"/>
        <family val="2"/>
      </rPr>
      <t xml:space="preserve">октябрь </t>
    </r>
    <r>
      <rPr>
        <b/>
        <sz val="14"/>
        <rFont val="Arial"/>
        <family val="2"/>
      </rPr>
      <t xml:space="preserve">   2022</t>
    </r>
  </si>
  <si>
    <t xml:space="preserve">  ИТОГО за ОКТЯБРЬ  2022г.(ОПЛАТА)</t>
  </si>
  <si>
    <t>Переплата по пени за август 2022 (Отчет САЛЬДО ПЕНИ)</t>
  </si>
  <si>
    <t>1-43</t>
  </si>
  <si>
    <t>-32,97</t>
  </si>
  <si>
    <t>7-16</t>
  </si>
  <si>
    <t>-96,85</t>
  </si>
  <si>
    <t>Переплата за сентябрь</t>
  </si>
  <si>
    <t>1-43     к/р</t>
  </si>
  <si>
    <t>7-7       к/р</t>
  </si>
  <si>
    <t>7-7А    к/р</t>
  </si>
  <si>
    <t>Переплата за октябрь</t>
  </si>
  <si>
    <t>4-1</t>
  </si>
  <si>
    <t>переплата  по пени</t>
  </si>
  <si>
    <t>4-2</t>
  </si>
  <si>
    <t>4-4</t>
  </si>
  <si>
    <t>4-6 к/р</t>
  </si>
  <si>
    <r>
      <t>127826,23-1035,49 (перепл. за сент. 22)=</t>
    </r>
    <r>
      <rPr>
        <b/>
        <sz val="11"/>
        <color indexed="8"/>
        <rFont val="Times New Roman"/>
        <family val="1"/>
      </rPr>
      <t>126790,74</t>
    </r>
  </si>
  <si>
    <t>4-7</t>
  </si>
  <si>
    <t>4-10</t>
  </si>
  <si>
    <t>4-12</t>
  </si>
  <si>
    <t>1-17</t>
  </si>
  <si>
    <t>7-7 к/р</t>
  </si>
  <si>
    <r>
      <t>51320,39-45,83 (переплата за сент.22)=</t>
    </r>
    <r>
      <rPr>
        <b/>
        <sz val="11"/>
        <color indexed="8"/>
        <rFont val="Times New Roman"/>
        <family val="1"/>
      </rPr>
      <t>51274,56</t>
    </r>
  </si>
  <si>
    <t>пени</t>
  </si>
  <si>
    <t>7-7А к/р</t>
  </si>
  <si>
    <r>
      <t>28322,4-581,83 (перепл. за сент.22)=</t>
    </r>
    <r>
      <rPr>
        <b/>
        <sz val="11"/>
        <color indexed="8"/>
        <rFont val="Times New Roman"/>
        <family val="1"/>
      </rPr>
      <t>27740,57</t>
    </r>
  </si>
  <si>
    <t>=96,85 (переплата с авг.22)+1,40= -96,45</t>
  </si>
  <si>
    <t>=89,32-32,97 (переплата с авг.22)= 56,35</t>
  </si>
  <si>
    <t>8-2</t>
  </si>
  <si>
    <t>-88,00</t>
  </si>
  <si>
    <t>3-13</t>
  </si>
  <si>
    <t>-113,7</t>
  </si>
  <si>
    <t>3-15</t>
  </si>
  <si>
    <t>-128,13</t>
  </si>
  <si>
    <t>3-16</t>
  </si>
  <si>
    <t>-34,55</t>
  </si>
  <si>
    <t>3-17</t>
  </si>
  <si>
    <t>-31,87</t>
  </si>
  <si>
    <r>
      <t xml:space="preserve">                СВОД   ВЗНОСОВ ПО    КАПРЕМОНТУ  ЗА  </t>
    </r>
    <r>
      <rPr>
        <b/>
        <sz val="14"/>
        <color indexed="10"/>
        <rFont val="Arial"/>
        <family val="2"/>
      </rPr>
      <t>НОЯБРЬ</t>
    </r>
    <r>
      <rPr>
        <b/>
        <sz val="14"/>
        <rFont val="Arial"/>
        <family val="2"/>
      </rPr>
      <t xml:space="preserve">    2022</t>
    </r>
  </si>
  <si>
    <t xml:space="preserve">  ИТОГО за НОЯБРЬ  2022г.(ОПЛАТА)</t>
  </si>
  <si>
    <t xml:space="preserve">ноябрь  2022  физ.лица +пеня </t>
  </si>
  <si>
    <r>
      <t>127826,23-1035,49 (перепл. за сент. 22)=</t>
    </r>
    <r>
      <rPr>
        <b/>
        <sz val="11"/>
        <color indexed="8"/>
        <rFont val="Times New Roman"/>
        <family val="1"/>
      </rPr>
      <t>126790,74</t>
    </r>
  </si>
  <si>
    <r>
      <t>51320,39-45,83 (переплата за сент.22)=</t>
    </r>
    <r>
      <rPr>
        <b/>
        <sz val="11"/>
        <color indexed="8"/>
        <rFont val="Times New Roman"/>
        <family val="1"/>
      </rPr>
      <t>51274,56</t>
    </r>
  </si>
  <si>
    <r>
      <t>28322,4-581,83 (перепл. за сент.22)=</t>
    </r>
    <r>
      <rPr>
        <b/>
        <sz val="11"/>
        <color indexed="8"/>
        <rFont val="Times New Roman"/>
        <family val="1"/>
      </rPr>
      <t>27740,57</t>
    </r>
  </si>
  <si>
    <t>Переплата за ноябрь</t>
  </si>
  <si>
    <t>-7,19+1325,05 = 1317,86 к оплате</t>
  </si>
  <si>
    <t>-47,47+0,55= -46,92 переплата по пени с окт22</t>
  </si>
  <si>
    <t>-15,7+33,44=17,74 к оплате</t>
  </si>
  <si>
    <t>-6,82+147,13=140,31 к оплате</t>
  </si>
  <si>
    <t>-407,86+87,95= -319,91 переплата по пени с окт22</t>
  </si>
  <si>
    <t>-173,15+103,67= -69,48 переплата по пени с окт22</t>
  </si>
  <si>
    <t>-111,87+206,84=94,97 к оплате</t>
  </si>
  <si>
    <t>-72,67+216,38=143,71 к оплате</t>
  </si>
  <si>
    <t>-95,45+17,15=78,30 переплата по пени с авг22</t>
  </si>
  <si>
    <t>-88,00+101,6=13,60 к оплате</t>
  </si>
  <si>
    <t>-113,7+143,04=29,34 к оплате</t>
  </si>
  <si>
    <t>-128,13+148,86=20,73 к оплате</t>
  </si>
  <si>
    <t>-34,55+261,25=226,70 к оплате</t>
  </si>
  <si>
    <t>-31,87+70,05=38,18 к оплате</t>
  </si>
  <si>
    <t>депозит 2022</t>
  </si>
  <si>
    <t>депозит        2023</t>
  </si>
  <si>
    <t>2023  1 КВ-Л</t>
  </si>
  <si>
    <t>2023  2 КВ-Л</t>
  </si>
  <si>
    <t>2023  3 КВ-Л</t>
  </si>
  <si>
    <t>2023  4 КВ-Л</t>
  </si>
  <si>
    <t xml:space="preserve">% из банка </t>
  </si>
  <si>
    <t>Итого</t>
  </si>
  <si>
    <t xml:space="preserve">декабрь 2022 год физ. Лица  юрики 4 квартал 2022 год </t>
  </si>
  <si>
    <t>Переплата за декабрь</t>
  </si>
  <si>
    <t>-46,92+0,02= -46,90 переплата по пени с окт22</t>
  </si>
  <si>
    <t>-319,91+18,11= -301,8 переплата по пени с окт22</t>
  </si>
  <si>
    <t>-78,30+32,48=-45,82 переплата по пени с авг22</t>
  </si>
  <si>
    <t xml:space="preserve">  ИТОГО за декабрь  2022г.(ОПЛАТА)</t>
  </si>
  <si>
    <t xml:space="preserve">                           К ПЕРЕЧИСЛЕНИЮ ЗА 4 КВАРТАЛ 2022 Г</t>
  </si>
  <si>
    <t xml:space="preserve">итого за 2022 год </t>
  </si>
  <si>
    <t xml:space="preserve">на счету 2023 январь </t>
  </si>
  <si>
    <t>вместе депозит и счет</t>
  </si>
  <si>
    <t>Сальдо 01.01.2023</t>
  </si>
  <si>
    <t>на 01.01.2023</t>
  </si>
  <si>
    <r>
      <t xml:space="preserve">        СВОД   НАЧИСЛЕНИЙ И ОПЛАТЫ  ВЗНОСОВ ПО КАПРЕМОНТУ за  ЯНВАРЬ</t>
    </r>
    <r>
      <rPr>
        <b/>
        <i/>
        <u val="single"/>
        <sz val="14"/>
        <color indexed="10"/>
        <rFont val="Arial"/>
        <family val="2"/>
      </rPr>
      <t xml:space="preserve"> 2023 -декабрь 2023г.</t>
    </r>
  </si>
  <si>
    <t>Остаток на 31.12.2023 г.</t>
  </si>
  <si>
    <t>С-ДО НА 31.12.23</t>
  </si>
  <si>
    <t>задолж.на 31.12.2023 г.</t>
  </si>
  <si>
    <t>ИТОГО за  2023г.</t>
  </si>
  <si>
    <t>январь 2023 год</t>
  </si>
  <si>
    <t>олим 6</t>
  </si>
  <si>
    <t>олимпи 6</t>
  </si>
  <si>
    <t xml:space="preserve">депозит       2023 </t>
  </si>
  <si>
    <t>выполненные работы</t>
  </si>
  <si>
    <t>2023 ГОД</t>
  </si>
  <si>
    <r>
      <t xml:space="preserve">        СВОД  ОПЛАТЫ  ВЗНОСОВ ПО КАПРЕМОНТУ ЗА ПЕРИОД С СЕНТЯБРЯ </t>
    </r>
    <r>
      <rPr>
        <b/>
        <i/>
        <u val="single"/>
        <sz val="10"/>
        <rFont val="Arial"/>
        <family val="2"/>
      </rPr>
      <t xml:space="preserve"> 2014 по 2023г.</t>
    </r>
  </si>
  <si>
    <t xml:space="preserve">декабрь 2022 год физ. Лица +пеня и юрики 4 квартал 2022 год </t>
  </si>
  <si>
    <t xml:space="preserve">январь 2023 пеня + физ. Лица </t>
  </si>
  <si>
    <t xml:space="preserve">Февраль 2023  физ.лица +пеня </t>
  </si>
  <si>
    <t>1 квартал 2023г.</t>
  </si>
  <si>
    <t>2 квартал 2023г.</t>
  </si>
  <si>
    <t xml:space="preserve">март 2023  пеня + физ. Лица </t>
  </si>
  <si>
    <t xml:space="preserve">Апрель 2023  физ.лица +пеня </t>
  </si>
  <si>
    <t xml:space="preserve">Май 2023  физ.лица +пеня </t>
  </si>
  <si>
    <t>3 квартал 2023</t>
  </si>
  <si>
    <t xml:space="preserve">июнь 2023  пеня + физ. Лица </t>
  </si>
  <si>
    <t xml:space="preserve">август 2023  физ.лица +пеня </t>
  </si>
  <si>
    <t xml:space="preserve">июль  2023  физ.лица +пеня </t>
  </si>
  <si>
    <t xml:space="preserve">сентябрь 2023  пеня + физ. Лица </t>
  </si>
  <si>
    <t>4 квартал 2023</t>
  </si>
  <si>
    <t>итого вместе с депозитом</t>
  </si>
  <si>
    <t>К ПЕРЕЧИСЛЕНИЮ ЗА 1 КВАРТАЛ 2023 Г</t>
  </si>
  <si>
    <t xml:space="preserve">  ИТОГО за МАЙ  2023г.(ОПЛАТА)</t>
  </si>
  <si>
    <t xml:space="preserve">Сведения о  начисленных  взносов на капитальный ремонт общего имущества  за 2022 год. </t>
  </si>
  <si>
    <t>на 01.06.2023</t>
  </si>
  <si>
    <t xml:space="preserve">  ИТОГО за ИЮНЬ  2023г.(ОПЛАТА)</t>
  </si>
  <si>
    <t>К ПЕРЕЧИСЛЕНИЮ ЗА 2 КВАРТАЛ 2023 Г</t>
  </si>
  <si>
    <t xml:space="preserve">март  2023 год физ. Лица  и юрики 1 квартал 2023 года </t>
  </si>
  <si>
    <t>ИТОГО за январь-июнь 2023г.</t>
  </si>
  <si>
    <t>ИТОГО за весь период 2014 по июнь 2023г.</t>
  </si>
  <si>
    <t>ИТОГО за январь-декабрь 2023г.</t>
  </si>
  <si>
    <t>на 01.07.2023</t>
  </si>
  <si>
    <t xml:space="preserve">                СВОД   ВЗНОСОВ ПО    КАПРЕМОНТУ  за июль  2023</t>
  </si>
  <si>
    <t xml:space="preserve">  ИТОГО за ИЮЛЬ  2023г.(ОПЛАТА)</t>
  </si>
  <si>
    <t>физ.лица +пеня (опл)</t>
  </si>
  <si>
    <t xml:space="preserve">июнь 2023   юрики 2 квартал 2023 года </t>
  </si>
  <si>
    <t xml:space="preserve">янв,февр,март, </t>
  </si>
  <si>
    <t>1кв юрики</t>
  </si>
  <si>
    <t>апр, май, июнь</t>
  </si>
  <si>
    <t>2 кв. юрики</t>
  </si>
  <si>
    <t>ИТОГО за весь период 2014 по 2023г.</t>
  </si>
  <si>
    <t>Сальдо на 01.07.г (с 2014 по июнь 23)</t>
  </si>
  <si>
    <t>Ленинградский-7</t>
  </si>
  <si>
    <t>Ленинградский-7а</t>
  </si>
  <si>
    <t>Ленинградский-5</t>
  </si>
  <si>
    <t>Юбилейный - 65</t>
  </si>
  <si>
    <t>Ленинградский-12</t>
  </si>
  <si>
    <r>
      <t xml:space="preserve">                СВОД   ВЗНОСОВ ПО    КАПРЕМОНТУ  за</t>
    </r>
    <r>
      <rPr>
        <b/>
        <sz val="14"/>
        <color indexed="10"/>
        <rFont val="Arial"/>
        <family val="2"/>
      </rPr>
      <t xml:space="preserve"> август</t>
    </r>
    <r>
      <rPr>
        <b/>
        <sz val="14"/>
        <rFont val="Arial"/>
        <family val="2"/>
      </rPr>
      <t xml:space="preserve"> 2023</t>
    </r>
  </si>
  <si>
    <t>С-ДО НА 01.09.</t>
  </si>
  <si>
    <t xml:space="preserve">  ИТОГО за АВГУСТ  2023г.(ОПЛАТА)</t>
  </si>
  <si>
    <t>физ и пеня + юрики 2 кв</t>
  </si>
  <si>
    <t>начисл и опл за июнь-авг</t>
  </si>
  <si>
    <t xml:space="preserve">сентябрь 2023   юрики 3 квартал 2023 года </t>
  </si>
  <si>
    <t xml:space="preserve">октябрь 2023  физ.лица +пеня </t>
  </si>
  <si>
    <t xml:space="preserve">ноябрь 2023  физ.лица +пеня </t>
  </si>
  <si>
    <r>
      <t xml:space="preserve">                СВОД   ВЗНОСОВ ПО    КАПРЕМОНТУ  за </t>
    </r>
    <r>
      <rPr>
        <b/>
        <sz val="14"/>
        <color indexed="10"/>
        <rFont val="Arial"/>
        <family val="2"/>
      </rPr>
      <t>сентябрь</t>
    </r>
    <r>
      <rPr>
        <b/>
        <sz val="14"/>
        <rFont val="Arial"/>
        <family val="2"/>
      </rPr>
      <t xml:space="preserve">   2023</t>
    </r>
  </si>
  <si>
    <r>
      <t xml:space="preserve">                СВОД   ВЗНОСОВ ПО    КАПРЕМОНТУ  за </t>
    </r>
    <r>
      <rPr>
        <b/>
        <sz val="14"/>
        <color indexed="10"/>
        <rFont val="Arial"/>
        <family val="2"/>
      </rPr>
      <t xml:space="preserve">октябрь </t>
    </r>
    <r>
      <rPr>
        <b/>
        <sz val="14"/>
        <rFont val="Arial"/>
        <family val="2"/>
      </rPr>
      <t xml:space="preserve">   2023</t>
    </r>
  </si>
  <si>
    <t xml:space="preserve">  ИТОГО за ОКТЯБРЬ  2023г.(ОПЛАТА)</t>
  </si>
  <si>
    <r>
      <t xml:space="preserve">                СВОД   ВЗНОСОВ ПО    КАПРЕМОНТУ  ЗА  </t>
    </r>
    <r>
      <rPr>
        <b/>
        <sz val="14"/>
        <color indexed="10"/>
        <rFont val="Arial"/>
        <family val="2"/>
      </rPr>
      <t>НОЯБРЬ</t>
    </r>
    <r>
      <rPr>
        <b/>
        <sz val="14"/>
        <rFont val="Arial"/>
        <family val="2"/>
      </rPr>
      <t xml:space="preserve">    2023</t>
    </r>
  </si>
  <si>
    <t xml:space="preserve">  ИТОГО за декабрь  2023г.(ОПЛАТА)</t>
  </si>
  <si>
    <t xml:space="preserve">                           К ПЕРЕЧИСЛЕНИЮ ЗА 4 КВАРТАЛ 2023 Г</t>
  </si>
  <si>
    <t xml:space="preserve">  ИТОГО за НОЯБРЬ  2023г.(ОПЛАТА)</t>
  </si>
  <si>
    <t>июль,авг,сент</t>
  </si>
  <si>
    <t>депозит с мая, июня,августа 2023</t>
  </si>
  <si>
    <t>ИТОГО за январь-декабрь 2022г.</t>
  </si>
  <si>
    <t xml:space="preserve">  ИТОГО за СЕНТЯБРЬ  2023г.(ОПЛАТА)</t>
  </si>
  <si>
    <t xml:space="preserve">              К ПЕРЕЧИСЛЕНИЮ ЗА 3 КВАРТАЛ 2023 Г</t>
  </si>
  <si>
    <t>окт,нояб, дек</t>
  </si>
  <si>
    <t>3 кв юрики</t>
  </si>
  <si>
    <t>4 кв юрики (добав в дек)</t>
  </si>
  <si>
    <t>депозит с сентября, ноября 2023</t>
  </si>
  <si>
    <t>начислено и оплачено</t>
  </si>
  <si>
    <t>физ лица + пеня+ юрики 3 кв + окт,нояб юрики</t>
  </si>
  <si>
    <t>окт (юрики)</t>
  </si>
  <si>
    <t>ноя (юрики)</t>
  </si>
  <si>
    <t xml:space="preserve">декабрь 2023 год физ. Лица  юрики окт,ноябрь  2023 год </t>
  </si>
  <si>
    <t>добавить в январе декабрь юрики</t>
  </si>
  <si>
    <t xml:space="preserve">4 квартал 2023г.  ООО  "ИСКРА"  Перечисление  кап.ремонт                  </t>
  </si>
  <si>
    <t>с 2014 на январь 2023</t>
  </si>
  <si>
    <t>7/7 переплатили - 924,51 (в январе за декабрь 23)</t>
  </si>
  <si>
    <t>Сальдо за 2014-2022г.</t>
  </si>
  <si>
    <t>Остаток 31.01.2023</t>
  </si>
  <si>
    <t>Сальдо на 01.01.2023</t>
  </si>
  <si>
    <t>Остаток на 31.01.2023</t>
  </si>
  <si>
    <t>задолженость на 01.02.2023</t>
  </si>
  <si>
    <t>ПЕНЯ, пеня рег. Опер (сальдо)</t>
  </si>
  <si>
    <t>задолж-ть на 31.12.2023 г. (с Учетом Сторно)</t>
  </si>
  <si>
    <t>задолж.на 31.12.2023 г. (с учетом сторно)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</si>
</sst>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00000"/>
    <numFmt numFmtId="183" formatCode="0.0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,##0.0"/>
    <numFmt numFmtId="193" formatCode="[$-FC19]d\ mmmm\ yyyy\ &quot;г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</numFmts>
  <fonts count="16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u val="single"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8"/>
      <name val="Calibri"/>
      <family val="2"/>
    </font>
    <font>
      <b/>
      <sz val="20"/>
      <name val="Arial"/>
      <family val="2"/>
    </font>
    <font>
      <b/>
      <sz val="14"/>
      <color indexed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b/>
      <i/>
      <u val="single"/>
      <sz val="14"/>
      <color indexed="10"/>
      <name val="Arial"/>
      <family val="2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18"/>
      <name val="Arial"/>
      <family val="2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name val="Calibri"/>
      <family val="2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sz val="16"/>
      <color indexed="10"/>
      <name val="Calibri"/>
      <family val="2"/>
    </font>
    <font>
      <sz val="14"/>
      <color indexed="1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indexed="8"/>
      <name val="Times New Roman"/>
      <family val="1"/>
    </font>
    <font>
      <b/>
      <u val="single"/>
      <sz val="14"/>
      <color indexed="10"/>
      <name val="Arial"/>
      <family val="2"/>
    </font>
    <font>
      <b/>
      <sz val="20"/>
      <color indexed="10"/>
      <name val="Arial"/>
      <family val="2"/>
    </font>
    <font>
      <b/>
      <sz val="18"/>
      <color indexed="10"/>
      <name val="Arial"/>
      <family val="2"/>
    </font>
    <font>
      <b/>
      <sz val="20"/>
      <color indexed="8"/>
      <name val="Calibri"/>
      <family val="2"/>
    </font>
    <font>
      <b/>
      <sz val="18"/>
      <color indexed="8"/>
      <name val="Times New Roman"/>
      <family val="1"/>
    </font>
    <font>
      <b/>
      <sz val="20"/>
      <color indexed="10"/>
      <name val="Times New Roman"/>
      <family val="1"/>
    </font>
    <font>
      <b/>
      <sz val="20"/>
      <color indexed="8"/>
      <name val="Times New Roman"/>
      <family val="1"/>
    </font>
    <font>
      <b/>
      <sz val="24"/>
      <color indexed="8"/>
      <name val="Times New Roman"/>
      <family val="1"/>
    </font>
    <font>
      <sz val="20"/>
      <color indexed="8"/>
      <name val="Calibri"/>
      <family val="2"/>
    </font>
    <font>
      <b/>
      <sz val="20"/>
      <name val="Calibri"/>
      <family val="2"/>
    </font>
    <font>
      <b/>
      <sz val="18"/>
      <color indexed="17"/>
      <name val="Times New Roman"/>
      <family val="1"/>
    </font>
    <font>
      <sz val="18"/>
      <color indexed="56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"/>
      <family val="2"/>
    </font>
    <font>
      <sz val="16"/>
      <color indexed="8"/>
      <name val="Times New Roman"/>
      <family val="1"/>
    </font>
    <font>
      <sz val="12"/>
      <color indexed="60"/>
      <name val="Times New Roman"/>
      <family val="1"/>
    </font>
    <font>
      <b/>
      <sz val="16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20"/>
      <color indexed="17"/>
      <name val="Times New Roman"/>
      <family val="1"/>
    </font>
    <font>
      <b/>
      <sz val="20"/>
      <color indexed="62"/>
      <name val="Times New Roman"/>
      <family val="1"/>
    </font>
    <font>
      <sz val="14"/>
      <color indexed="8"/>
      <name val="Arial"/>
      <family val="2"/>
    </font>
    <font>
      <b/>
      <sz val="18"/>
      <color indexed="56"/>
      <name val="Times New Roman"/>
      <family val="1"/>
    </font>
    <font>
      <b/>
      <sz val="11"/>
      <color indexed="10"/>
      <name val="Calibri"/>
      <family val="2"/>
    </font>
    <font>
      <sz val="16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8"/>
      <color indexed="8"/>
      <name val="Calibri"/>
      <family val="2"/>
    </font>
    <font>
      <b/>
      <sz val="16"/>
      <color indexed="10"/>
      <name val="Calibri"/>
      <family val="2"/>
    </font>
    <font>
      <sz val="18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8"/>
      <color rgb="FFFF0000"/>
      <name val="Calibri"/>
      <family val="2"/>
    </font>
    <font>
      <sz val="16"/>
      <color rgb="FFFF0000"/>
      <name val="Calibri"/>
      <family val="2"/>
    </font>
    <font>
      <sz val="14"/>
      <color rgb="FFFF00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Arial"/>
      <family val="2"/>
    </font>
    <font>
      <b/>
      <u val="single"/>
      <sz val="14"/>
      <color rgb="FFFF0000"/>
      <name val="Arial"/>
      <family val="2"/>
    </font>
    <font>
      <b/>
      <sz val="20"/>
      <color rgb="FFFF0000"/>
      <name val="Arial"/>
      <family val="2"/>
    </font>
    <font>
      <b/>
      <sz val="18"/>
      <color rgb="FFFF0000"/>
      <name val="Arial"/>
      <family val="2"/>
    </font>
    <font>
      <b/>
      <sz val="20"/>
      <color theme="1"/>
      <name val="Calibri"/>
      <family val="2"/>
    </font>
    <font>
      <b/>
      <sz val="14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20"/>
      <color rgb="FFFF0000"/>
      <name val="Times New Roman"/>
      <family val="1"/>
    </font>
    <font>
      <b/>
      <sz val="20"/>
      <color theme="1"/>
      <name val="Times New Roman"/>
      <family val="1"/>
    </font>
    <font>
      <b/>
      <sz val="24"/>
      <color theme="1"/>
      <name val="Times New Roman"/>
      <family val="1"/>
    </font>
    <font>
      <sz val="20"/>
      <color theme="1"/>
      <name val="Calibri"/>
      <family val="2"/>
    </font>
    <font>
      <b/>
      <sz val="18"/>
      <color rgb="FF00B050"/>
      <name val="Times New Roman"/>
      <family val="1"/>
    </font>
    <font>
      <sz val="18"/>
      <color theme="3"/>
      <name val="Times New Roman"/>
      <family val="1"/>
    </font>
    <font>
      <sz val="18"/>
      <color theme="1"/>
      <name val="Times New Roman"/>
      <family val="1"/>
    </font>
    <font>
      <sz val="20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Arial"/>
      <family val="2"/>
    </font>
    <font>
      <sz val="12"/>
      <color rgb="FFFF0000"/>
      <name val="Times New Roman"/>
      <family val="1"/>
    </font>
    <font>
      <sz val="16"/>
      <color theme="1"/>
      <name val="Times New Roman"/>
      <family val="1"/>
    </font>
    <font>
      <sz val="12"/>
      <color rgb="FFC00000"/>
      <name val="Times New Roman"/>
      <family val="1"/>
    </font>
    <font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Calibri"/>
      <family val="2"/>
    </font>
    <font>
      <b/>
      <sz val="20"/>
      <color rgb="FF00B050"/>
      <name val="Times New Roman"/>
      <family val="1"/>
    </font>
    <font>
      <b/>
      <sz val="20"/>
      <color theme="3" tint="0.39998000860214233"/>
      <name val="Times New Roman"/>
      <family val="1"/>
    </font>
    <font>
      <sz val="14"/>
      <color theme="1"/>
      <name val="Arial"/>
      <family val="2"/>
    </font>
    <font>
      <b/>
      <sz val="18"/>
      <color theme="3"/>
      <name val="Times New Roman"/>
      <family val="1"/>
    </font>
    <font>
      <b/>
      <sz val="11"/>
      <color rgb="FFFF0000"/>
      <name val="Calibri"/>
      <family val="2"/>
    </font>
    <font>
      <b/>
      <sz val="14"/>
      <color rgb="FF000000"/>
      <name val="Times New Roman"/>
      <family val="1"/>
    </font>
    <font>
      <sz val="16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14"/>
      <color theme="3"/>
      <name val="Times New Roman"/>
      <family val="1"/>
    </font>
    <font>
      <b/>
      <sz val="18"/>
      <color theme="1"/>
      <name val="Calibri"/>
      <family val="2"/>
    </font>
    <font>
      <b/>
      <sz val="16"/>
      <color rgb="FFFF0000"/>
      <name val="Calibri"/>
      <family val="2"/>
    </font>
    <font>
      <sz val="18"/>
      <color theme="0"/>
      <name val="Calibri"/>
      <family val="2"/>
    </font>
    <font>
      <b/>
      <sz val="18"/>
      <color theme="0"/>
      <name val="Calibri"/>
      <family val="2"/>
    </font>
    <font>
      <sz val="11"/>
      <color rgb="FF000000"/>
      <name val="Times New Roman"/>
      <family val="1"/>
    </font>
  </fonts>
  <fills count="7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F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/>
    </border>
    <border>
      <left style="medium"/>
      <right style="medium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/>
      <right>
        <color indexed="63"/>
      </right>
      <top style="medium"/>
      <bottom style="medium"/>
    </border>
    <border>
      <left/>
      <right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100" fillId="25" borderId="1" applyNumberFormat="0" applyAlignment="0" applyProtection="0"/>
    <xf numFmtId="0" fontId="101" fillId="26" borderId="2" applyNumberFormat="0" applyAlignment="0" applyProtection="0"/>
    <xf numFmtId="0" fontId="102" fillId="26" borderId="1" applyNumberFormat="0" applyAlignment="0" applyProtection="0"/>
    <xf numFmtId="0" fontId="8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107" fillId="27" borderId="7" applyNumberFormat="0" applyAlignment="0" applyProtection="0"/>
    <xf numFmtId="0" fontId="108" fillId="0" borderId="0" applyNumberFormat="0" applyFill="0" applyBorder="0" applyAlignment="0" applyProtection="0"/>
    <xf numFmtId="0" fontId="10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110" fillId="29" borderId="0" applyNumberFormat="0" applyBorder="0" applyAlignment="0" applyProtection="0"/>
    <xf numFmtId="0" fontId="11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14" fillId="31" borderId="0" applyNumberFormat="0" applyBorder="0" applyAlignment="0" applyProtection="0"/>
  </cellStyleXfs>
  <cellXfs count="1739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4" fontId="0" fillId="33" borderId="10" xfId="0" applyNumberFormat="1" applyFill="1" applyBorder="1" applyAlignment="1">
      <alignment/>
    </xf>
    <xf numFmtId="0" fontId="3" fillId="32" borderId="0" xfId="0" applyFont="1" applyFill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4" fontId="0" fillId="34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4" fontId="0" fillId="3" borderId="10" xfId="0" applyNumberFormat="1" applyFill="1" applyBorder="1" applyAlignment="1">
      <alignment/>
    </xf>
    <xf numFmtId="0" fontId="0" fillId="0" borderId="0" xfId="0" applyBorder="1" applyAlignment="1">
      <alignment/>
    </xf>
    <xf numFmtId="4" fontId="0" fillId="4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4" fontId="0" fillId="33" borderId="13" xfId="0" applyNumberForma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3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" borderId="10" xfId="0" applyFill="1" applyBorder="1" applyAlignment="1">
      <alignment/>
    </xf>
    <xf numFmtId="4" fontId="0" fillId="4" borderId="13" xfId="0" applyNumberFormat="1" applyFill="1" applyBorder="1" applyAlignment="1">
      <alignment/>
    </xf>
    <xf numFmtId="4" fontId="0" fillId="36" borderId="10" xfId="0" applyNumberFormat="1" applyFill="1" applyBorder="1" applyAlignment="1">
      <alignment/>
    </xf>
    <xf numFmtId="4" fontId="0" fillId="36" borderId="13" xfId="0" applyNumberFormat="1" applyFill="1" applyBorder="1" applyAlignment="1">
      <alignment/>
    </xf>
    <xf numFmtId="0" fontId="1" fillId="18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0" fillId="34" borderId="13" xfId="0" applyFill="1" applyBorder="1" applyAlignment="1">
      <alignment/>
    </xf>
    <xf numFmtId="4" fontId="0" fillId="34" borderId="13" xfId="0" applyNumberFormat="1" applyFill="1" applyBorder="1" applyAlignment="1">
      <alignment/>
    </xf>
    <xf numFmtId="4" fontId="0" fillId="34" borderId="11" xfId="0" applyNumberFormat="1" applyFill="1" applyBorder="1" applyAlignment="1">
      <alignment/>
    </xf>
    <xf numFmtId="4" fontId="1" fillId="4" borderId="10" xfId="0" applyNumberFormat="1" applyFont="1" applyFill="1" applyBorder="1" applyAlignment="1">
      <alignment/>
    </xf>
    <xf numFmtId="17" fontId="6" fillId="4" borderId="13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4" fontId="0" fillId="37" borderId="10" xfId="0" applyNumberFormat="1" applyFill="1" applyBorder="1" applyAlignment="1">
      <alignment/>
    </xf>
    <xf numFmtId="0" fontId="0" fillId="38" borderId="11" xfId="0" applyFill="1" applyBorder="1" applyAlignment="1">
      <alignment/>
    </xf>
    <xf numFmtId="0" fontId="106" fillId="0" borderId="0" xfId="0" applyFont="1" applyAlignment="1">
      <alignment/>
    </xf>
    <xf numFmtId="0" fontId="0" fillId="39" borderId="11" xfId="0" applyFill="1" applyBorder="1" applyAlignment="1">
      <alignment/>
    </xf>
    <xf numFmtId="4" fontId="0" fillId="40" borderId="10" xfId="0" applyNumberFormat="1" applyFill="1" applyBorder="1" applyAlignment="1">
      <alignment/>
    </xf>
    <xf numFmtId="4" fontId="0" fillId="41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113" fillId="0" borderId="0" xfId="0" applyFont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115" fillId="0" borderId="0" xfId="0" applyFont="1" applyAlignment="1">
      <alignment horizontal="center"/>
    </xf>
    <xf numFmtId="0" fontId="116" fillId="0" borderId="0" xfId="0" applyFont="1" applyAlignment="1">
      <alignment/>
    </xf>
    <xf numFmtId="0" fontId="10" fillId="0" borderId="0" xfId="0" applyFont="1" applyAlignment="1">
      <alignment/>
    </xf>
    <xf numFmtId="0" fontId="106" fillId="0" borderId="0" xfId="0" applyFont="1" applyAlignment="1">
      <alignment horizontal="center" wrapText="1"/>
    </xf>
    <xf numFmtId="0" fontId="0" fillId="41" borderId="10" xfId="0" applyFill="1" applyBorder="1" applyAlignment="1">
      <alignment/>
    </xf>
    <xf numFmtId="4" fontId="0" fillId="41" borderId="11" xfId="0" applyNumberFormat="1" applyFill="1" applyBorder="1" applyAlignment="1">
      <alignment/>
    </xf>
    <xf numFmtId="4" fontId="0" fillId="41" borderId="13" xfId="0" applyNumberFormat="1" applyFill="1" applyBorder="1" applyAlignment="1">
      <alignment/>
    </xf>
    <xf numFmtId="4" fontId="1" fillId="41" borderId="10" xfId="0" applyNumberFormat="1" applyFont="1" applyFill="1" applyBorder="1" applyAlignment="1">
      <alignment/>
    </xf>
    <xf numFmtId="4" fontId="1" fillId="40" borderId="10" xfId="0" applyNumberFormat="1" applyFont="1" applyFill="1" applyBorder="1" applyAlignment="1">
      <alignment/>
    </xf>
    <xf numFmtId="0" fontId="0" fillId="40" borderId="10" xfId="0" applyFill="1" applyBorder="1" applyAlignment="1">
      <alignment/>
    </xf>
    <xf numFmtId="0" fontId="0" fillId="41" borderId="10" xfId="0" applyFill="1" applyBorder="1" applyAlignment="1">
      <alignment horizontal="center" wrapText="1"/>
    </xf>
    <xf numFmtId="0" fontId="0" fillId="40" borderId="10" xfId="0" applyFill="1" applyBorder="1" applyAlignment="1">
      <alignment horizontal="center" wrapText="1"/>
    </xf>
    <xf numFmtId="0" fontId="57" fillId="41" borderId="10" xfId="0" applyFont="1" applyFill="1" applyBorder="1" applyAlignment="1">
      <alignment horizontal="center" wrapText="1"/>
    </xf>
    <xf numFmtId="0" fontId="115" fillId="0" borderId="0" xfId="0" applyFont="1" applyAlignment="1">
      <alignment/>
    </xf>
    <xf numFmtId="0" fontId="11" fillId="32" borderId="0" xfId="0" applyFont="1" applyFill="1" applyAlignment="1">
      <alignment/>
    </xf>
    <xf numFmtId="0" fontId="115" fillId="32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 wrapText="1"/>
    </xf>
    <xf numFmtId="0" fontId="11" fillId="42" borderId="16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4" fontId="115" fillId="42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1" fillId="43" borderId="10" xfId="0" applyFont="1" applyFill="1" applyBorder="1" applyAlignment="1">
      <alignment horizontal="left"/>
    </xf>
    <xf numFmtId="0" fontId="14" fillId="42" borderId="16" xfId="0" applyFont="1" applyFill="1" applyBorder="1" applyAlignment="1">
      <alignment horizontal="right" vertical="center" wrapText="1"/>
    </xf>
    <xf numFmtId="4" fontId="115" fillId="44" borderId="10" xfId="0" applyNumberFormat="1" applyFont="1" applyFill="1" applyBorder="1" applyAlignment="1">
      <alignment/>
    </xf>
    <xf numFmtId="17" fontId="115" fillId="0" borderId="0" xfId="0" applyNumberFormat="1" applyFont="1" applyAlignment="1">
      <alignment/>
    </xf>
    <xf numFmtId="0" fontId="11" fillId="0" borderId="14" xfId="0" applyFont="1" applyBorder="1" applyAlignment="1">
      <alignment horizontal="left"/>
    </xf>
    <xf numFmtId="0" fontId="11" fillId="45" borderId="16" xfId="0" applyFont="1" applyFill="1" applyBorder="1" applyAlignment="1">
      <alignment horizontal="center" vertical="center" wrapText="1"/>
    </xf>
    <xf numFmtId="4" fontId="115" fillId="45" borderId="10" xfId="0" applyNumberFormat="1" applyFont="1" applyFill="1" applyBorder="1" applyAlignment="1">
      <alignment/>
    </xf>
    <xf numFmtId="4" fontId="115" fillId="45" borderId="14" xfId="0" applyNumberFormat="1" applyFont="1" applyFill="1" applyBorder="1" applyAlignment="1">
      <alignment/>
    </xf>
    <xf numFmtId="0" fontId="11" fillId="45" borderId="14" xfId="0" applyFont="1" applyFill="1" applyBorder="1" applyAlignment="1">
      <alignment vertical="center" wrapText="1"/>
    </xf>
    <xf numFmtId="0" fontId="11" fillId="46" borderId="14" xfId="0" applyFont="1" applyFill="1" applyBorder="1" applyAlignment="1">
      <alignment vertical="center" wrapText="1"/>
    </xf>
    <xf numFmtId="0" fontId="11" fillId="46" borderId="10" xfId="0" applyFont="1" applyFill="1" applyBorder="1" applyAlignment="1">
      <alignment horizontal="center" vertical="center" wrapText="1"/>
    </xf>
    <xf numFmtId="0" fontId="11" fillId="46" borderId="16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vertical="center" wrapText="1"/>
    </xf>
    <xf numFmtId="4" fontId="115" fillId="7" borderId="10" xfId="0" applyNumberFormat="1" applyFont="1" applyFill="1" applyBorder="1" applyAlignment="1">
      <alignment/>
    </xf>
    <xf numFmtId="0" fontId="11" fillId="43" borderId="16" xfId="0" applyFont="1" applyFill="1" applyBorder="1" applyAlignment="1">
      <alignment horizontal="left"/>
    </xf>
    <xf numFmtId="0" fontId="14" fillId="6" borderId="16" xfId="0" applyFont="1" applyFill="1" applyBorder="1" applyAlignment="1">
      <alignment horizontal="right" vertical="center" wrapText="1"/>
    </xf>
    <xf numFmtId="4" fontId="115" fillId="6" borderId="16" xfId="0" applyNumberFormat="1" applyFont="1" applyFill="1" applyBorder="1" applyAlignment="1">
      <alignment/>
    </xf>
    <xf numFmtId="0" fontId="11" fillId="6" borderId="17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11" fillId="44" borderId="21" xfId="0" applyFont="1" applyFill="1" applyBorder="1" applyAlignment="1">
      <alignment horizontal="center" vertical="center" wrapText="1"/>
    </xf>
    <xf numFmtId="0" fontId="11" fillId="44" borderId="22" xfId="0" applyFont="1" applyFill="1" applyBorder="1" applyAlignment="1">
      <alignment horizontal="center" vertical="center" wrapText="1"/>
    </xf>
    <xf numFmtId="0" fontId="14" fillId="44" borderId="10" xfId="0" applyFont="1" applyFill="1" applyBorder="1" applyAlignment="1">
      <alignment horizontal="right" vertical="center" wrapText="1"/>
    </xf>
    <xf numFmtId="0" fontId="115" fillId="41" borderId="21" xfId="0" applyFont="1" applyFill="1" applyBorder="1" applyAlignment="1">
      <alignment horizontal="center"/>
    </xf>
    <xf numFmtId="0" fontId="115" fillId="41" borderId="21" xfId="0" applyFont="1" applyFill="1" applyBorder="1" applyAlignment="1">
      <alignment wrapText="1"/>
    </xf>
    <xf numFmtId="0" fontId="115" fillId="41" borderId="23" xfId="0" applyFont="1" applyFill="1" applyBorder="1" applyAlignment="1">
      <alignment wrapText="1"/>
    </xf>
    <xf numFmtId="0" fontId="11" fillId="41" borderId="24" xfId="0" applyFont="1" applyFill="1" applyBorder="1" applyAlignment="1">
      <alignment horizontal="center" vertical="center" wrapText="1"/>
    </xf>
    <xf numFmtId="0" fontId="117" fillId="41" borderId="24" xfId="0" applyFont="1" applyFill="1" applyBorder="1" applyAlignment="1">
      <alignment horizontal="center" vertical="center" wrapText="1"/>
    </xf>
    <xf numFmtId="0" fontId="117" fillId="41" borderId="24" xfId="0" applyFont="1" applyFill="1" applyBorder="1" applyAlignment="1">
      <alignment vertical="center" wrapText="1"/>
    </xf>
    <xf numFmtId="4" fontId="115" fillId="0" borderId="0" xfId="0" applyNumberFormat="1" applyFont="1" applyAlignment="1">
      <alignment/>
    </xf>
    <xf numFmtId="0" fontId="11" fillId="47" borderId="10" xfId="0" applyFont="1" applyFill="1" applyBorder="1" applyAlignment="1">
      <alignment horizontal="center" vertical="center" wrapText="1"/>
    </xf>
    <xf numFmtId="4" fontId="115" fillId="37" borderId="10" xfId="0" applyNumberFormat="1" applyFont="1" applyFill="1" applyBorder="1" applyAlignment="1">
      <alignment/>
    </xf>
    <xf numFmtId="0" fontId="11" fillId="39" borderId="16" xfId="0" applyFont="1" applyFill="1" applyBorder="1" applyAlignment="1">
      <alignment horizontal="left" wrapText="1"/>
    </xf>
    <xf numFmtId="0" fontId="11" fillId="39" borderId="10" xfId="0" applyFont="1" applyFill="1" applyBorder="1" applyAlignment="1">
      <alignment horizontal="left"/>
    </xf>
    <xf numFmtId="0" fontId="11" fillId="0" borderId="16" xfId="0" applyFont="1" applyBorder="1" applyAlignment="1">
      <alignment horizontal="center" vertical="center" wrapText="1"/>
    </xf>
    <xf numFmtId="0" fontId="11" fillId="45" borderId="25" xfId="0" applyFont="1" applyFill="1" applyBorder="1" applyAlignment="1">
      <alignment horizontal="center" vertical="center" wrapText="1"/>
    </xf>
    <xf numFmtId="0" fontId="11" fillId="45" borderId="13" xfId="0" applyFont="1" applyFill="1" applyBorder="1" applyAlignment="1">
      <alignment horizontal="center" vertical="center" wrapText="1"/>
    </xf>
    <xf numFmtId="0" fontId="11" fillId="45" borderId="11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45" borderId="10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left"/>
    </xf>
    <xf numFmtId="4" fontId="115" fillId="42" borderId="16" xfId="0" applyNumberFormat="1" applyFont="1" applyFill="1" applyBorder="1" applyAlignment="1">
      <alignment/>
    </xf>
    <xf numFmtId="0" fontId="11" fillId="47" borderId="26" xfId="0" applyFont="1" applyFill="1" applyBorder="1" applyAlignment="1">
      <alignment vertical="center" wrapText="1"/>
    </xf>
    <xf numFmtId="0" fontId="11" fillId="47" borderId="27" xfId="0" applyFont="1" applyFill="1" applyBorder="1" applyAlignment="1">
      <alignment horizontal="center" vertical="center" wrapText="1"/>
    </xf>
    <xf numFmtId="4" fontId="115" fillId="47" borderId="16" xfId="0" applyNumberFormat="1" applyFont="1" applyFill="1" applyBorder="1" applyAlignment="1">
      <alignment/>
    </xf>
    <xf numFmtId="0" fontId="11" fillId="47" borderId="16" xfId="0" applyFont="1" applyFill="1" applyBorder="1" applyAlignment="1">
      <alignment horizontal="center" vertical="center" wrapText="1"/>
    </xf>
    <xf numFmtId="0" fontId="11" fillId="46" borderId="27" xfId="0" applyFont="1" applyFill="1" applyBorder="1" applyAlignment="1">
      <alignment vertical="center" wrapText="1"/>
    </xf>
    <xf numFmtId="0" fontId="11" fillId="46" borderId="27" xfId="0" applyFont="1" applyFill="1" applyBorder="1" applyAlignment="1">
      <alignment horizontal="center" vertical="center" wrapText="1"/>
    </xf>
    <xf numFmtId="0" fontId="11" fillId="46" borderId="28" xfId="0" applyFont="1" applyFill="1" applyBorder="1" applyAlignment="1">
      <alignment horizontal="center" vertical="center" wrapText="1"/>
    </xf>
    <xf numFmtId="4" fontId="115" fillId="46" borderId="16" xfId="0" applyNumberFormat="1" applyFont="1" applyFill="1" applyBorder="1" applyAlignment="1">
      <alignment/>
    </xf>
    <xf numFmtId="0" fontId="14" fillId="46" borderId="16" xfId="0" applyFont="1" applyFill="1" applyBorder="1" applyAlignment="1">
      <alignment horizontal="right" vertical="center" wrapText="1"/>
    </xf>
    <xf numFmtId="0" fontId="5" fillId="46" borderId="10" xfId="0" applyFont="1" applyFill="1" applyBorder="1" applyAlignment="1">
      <alignment horizontal="right" vertical="center" wrapText="1"/>
    </xf>
    <xf numFmtId="4" fontId="0" fillId="46" borderId="10" xfId="0" applyNumberFormat="1" applyFill="1" applyBorder="1" applyAlignment="1">
      <alignment/>
    </xf>
    <xf numFmtId="4" fontId="115" fillId="41" borderId="16" xfId="0" applyNumberFormat="1" applyFont="1" applyFill="1" applyBorder="1" applyAlignment="1">
      <alignment/>
    </xf>
    <xf numFmtId="4" fontId="115" fillId="42" borderId="14" xfId="0" applyNumberFormat="1" applyFont="1" applyFill="1" applyBorder="1" applyAlignment="1">
      <alignment/>
    </xf>
    <xf numFmtId="4" fontId="115" fillId="47" borderId="14" xfId="0" applyNumberFormat="1" applyFont="1" applyFill="1" applyBorder="1" applyAlignment="1">
      <alignment/>
    </xf>
    <xf numFmtId="4" fontId="0" fillId="46" borderId="14" xfId="0" applyNumberFormat="1" applyFill="1" applyBorder="1" applyAlignment="1">
      <alignment/>
    </xf>
    <xf numFmtId="0" fontId="115" fillId="41" borderId="16" xfId="0" applyFont="1" applyFill="1" applyBorder="1" applyAlignment="1">
      <alignment/>
    </xf>
    <xf numFmtId="4" fontId="115" fillId="44" borderId="14" xfId="0" applyNumberFormat="1" applyFont="1" applyFill="1" applyBorder="1" applyAlignment="1">
      <alignment/>
    </xf>
    <xf numFmtId="0" fontId="16" fillId="42" borderId="19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16" fillId="6" borderId="20" xfId="0" applyFont="1" applyFill="1" applyBorder="1" applyAlignment="1">
      <alignment horizontal="center" vertical="center" wrapText="1"/>
    </xf>
    <xf numFmtId="0" fontId="16" fillId="44" borderId="27" xfId="0" applyFont="1" applyFill="1" applyBorder="1" applyAlignment="1">
      <alignment vertical="center" wrapText="1"/>
    </xf>
    <xf numFmtId="0" fontId="16" fillId="44" borderId="28" xfId="0" applyFont="1" applyFill="1" applyBorder="1" applyAlignment="1">
      <alignment horizontal="center" vertical="center" wrapText="1"/>
    </xf>
    <xf numFmtId="17" fontId="6" fillId="3" borderId="25" xfId="0" applyNumberFormat="1" applyFont="1" applyFill="1" applyBorder="1" applyAlignment="1">
      <alignment horizontal="center"/>
    </xf>
    <xf numFmtId="4" fontId="0" fillId="33" borderId="14" xfId="0" applyNumberFormat="1" applyFill="1" applyBorder="1" applyAlignment="1">
      <alignment/>
    </xf>
    <xf numFmtId="4" fontId="1" fillId="4" borderId="14" xfId="0" applyNumberFormat="1" applyFont="1" applyFill="1" applyBorder="1" applyAlignment="1">
      <alignment/>
    </xf>
    <xf numFmtId="4" fontId="115" fillId="41" borderId="10" xfId="0" applyNumberFormat="1" applyFont="1" applyFill="1" applyBorder="1" applyAlignment="1">
      <alignment/>
    </xf>
    <xf numFmtId="4" fontId="115" fillId="45" borderId="16" xfId="0" applyNumberFormat="1" applyFont="1" applyFill="1" applyBorder="1" applyAlignment="1">
      <alignment/>
    </xf>
    <xf numFmtId="4" fontId="115" fillId="7" borderId="16" xfId="0" applyNumberFormat="1" applyFont="1" applyFill="1" applyBorder="1" applyAlignment="1">
      <alignment/>
    </xf>
    <xf numFmtId="0" fontId="11" fillId="46" borderId="29" xfId="0" applyFont="1" applyFill="1" applyBorder="1" applyAlignment="1">
      <alignment vertical="center" wrapText="1"/>
    </xf>
    <xf numFmtId="0" fontId="11" fillId="7" borderId="29" xfId="0" applyFont="1" applyFill="1" applyBorder="1" applyAlignment="1">
      <alignment vertical="center" wrapText="1"/>
    </xf>
    <xf numFmtId="0" fontId="11" fillId="45" borderId="29" xfId="0" applyFont="1" applyFill="1" applyBorder="1" applyAlignment="1">
      <alignment vertical="center" wrapText="1"/>
    </xf>
    <xf numFmtId="0" fontId="11" fillId="8" borderId="19" xfId="0" applyFont="1" applyFill="1" applyBorder="1" applyAlignment="1">
      <alignment horizontal="center" vertical="center" wrapText="1"/>
    </xf>
    <xf numFmtId="0" fontId="11" fillId="45" borderId="19" xfId="0" applyFont="1" applyFill="1" applyBorder="1" applyAlignment="1">
      <alignment horizontal="center" vertical="center" wrapText="1"/>
    </xf>
    <xf numFmtId="0" fontId="11" fillId="46" borderId="19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1" fillId="45" borderId="27" xfId="0" applyFont="1" applyFill="1" applyBorder="1" applyAlignment="1">
      <alignment horizontal="center" vertical="center" wrapText="1"/>
    </xf>
    <xf numFmtId="4" fontId="115" fillId="44" borderId="16" xfId="0" applyNumberFormat="1" applyFont="1" applyFill="1" applyBorder="1" applyAlignment="1">
      <alignment/>
    </xf>
    <xf numFmtId="0" fontId="11" fillId="13" borderId="19" xfId="0" applyFont="1" applyFill="1" applyBorder="1" applyAlignment="1">
      <alignment horizontal="center" vertical="center" wrapText="1"/>
    </xf>
    <xf numFmtId="4" fontId="115" fillId="13" borderId="16" xfId="0" applyNumberFormat="1" applyFont="1" applyFill="1" applyBorder="1" applyAlignment="1">
      <alignment/>
    </xf>
    <xf numFmtId="4" fontId="115" fillId="13" borderId="10" xfId="0" applyNumberFormat="1" applyFont="1" applyFill="1" applyBorder="1" applyAlignment="1">
      <alignment/>
    </xf>
    <xf numFmtId="4" fontId="115" fillId="13" borderId="14" xfId="0" applyNumberFormat="1" applyFont="1" applyFill="1" applyBorder="1" applyAlignment="1">
      <alignment/>
    </xf>
    <xf numFmtId="0" fontId="11" fillId="13" borderId="27" xfId="0" applyFont="1" applyFill="1" applyBorder="1" applyAlignment="1">
      <alignment horizontal="center" vertical="center" wrapText="1"/>
    </xf>
    <xf numFmtId="0" fontId="11" fillId="48" borderId="27" xfId="0" applyFont="1" applyFill="1" applyBorder="1" applyAlignment="1">
      <alignment horizontal="center" vertical="center" wrapText="1"/>
    </xf>
    <xf numFmtId="4" fontId="115" fillId="48" borderId="16" xfId="0" applyNumberFormat="1" applyFont="1" applyFill="1" applyBorder="1" applyAlignment="1">
      <alignment/>
    </xf>
    <xf numFmtId="0" fontId="11" fillId="44" borderId="30" xfId="0" applyFont="1" applyFill="1" applyBorder="1" applyAlignment="1">
      <alignment vertical="center" wrapText="1"/>
    </xf>
    <xf numFmtId="0" fontId="11" fillId="44" borderId="16" xfId="0" applyFont="1" applyFill="1" applyBorder="1" applyAlignment="1">
      <alignment horizontal="center" vertical="center" wrapText="1"/>
    </xf>
    <xf numFmtId="0" fontId="11" fillId="47" borderId="31" xfId="0" applyFont="1" applyFill="1" applyBorder="1" applyAlignment="1">
      <alignment horizontal="center" vertical="center" wrapText="1"/>
    </xf>
    <xf numFmtId="0" fontId="11" fillId="46" borderId="10" xfId="0" applyFont="1" applyFill="1" applyBorder="1" applyAlignment="1">
      <alignment horizontal="left"/>
    </xf>
    <xf numFmtId="0" fontId="11" fillId="6" borderId="10" xfId="0" applyFont="1" applyFill="1" applyBorder="1" applyAlignment="1">
      <alignment horizontal="left"/>
    </xf>
    <xf numFmtId="0" fontId="11" fillId="44" borderId="10" xfId="0" applyFont="1" applyFill="1" applyBorder="1" applyAlignment="1">
      <alignment horizontal="left"/>
    </xf>
    <xf numFmtId="0" fontId="11" fillId="46" borderId="14" xfId="0" applyFont="1" applyFill="1" applyBorder="1" applyAlignment="1">
      <alignment horizontal="left"/>
    </xf>
    <xf numFmtId="0" fontId="14" fillId="44" borderId="16" xfId="0" applyFont="1" applyFill="1" applyBorder="1" applyAlignment="1">
      <alignment horizontal="right" vertical="center" wrapText="1"/>
    </xf>
    <xf numFmtId="4" fontId="115" fillId="44" borderId="10" xfId="0" applyNumberFormat="1" applyFont="1" applyFill="1" applyBorder="1" applyAlignment="1">
      <alignment horizontal="right"/>
    </xf>
    <xf numFmtId="0" fontId="11" fillId="6" borderId="32" xfId="0" applyFont="1" applyFill="1" applyBorder="1" applyAlignment="1">
      <alignment horizontal="center" vertical="center" wrapText="1"/>
    </xf>
    <xf numFmtId="0" fontId="14" fillId="45" borderId="16" xfId="0" applyFont="1" applyFill="1" applyBorder="1" applyAlignment="1">
      <alignment horizontal="right" vertical="center" wrapText="1"/>
    </xf>
    <xf numFmtId="0" fontId="11" fillId="44" borderId="16" xfId="0" applyFont="1" applyFill="1" applyBorder="1" applyAlignment="1">
      <alignment horizontal="left"/>
    </xf>
    <xf numFmtId="0" fontId="11" fillId="48" borderId="10" xfId="0" applyFont="1" applyFill="1" applyBorder="1" applyAlignment="1">
      <alignment horizontal="left"/>
    </xf>
    <xf numFmtId="0" fontId="11" fillId="45" borderId="10" xfId="0" applyFont="1" applyFill="1" applyBorder="1" applyAlignment="1">
      <alignment horizontal="left"/>
    </xf>
    <xf numFmtId="0" fontId="11" fillId="45" borderId="14" xfId="0" applyFont="1" applyFill="1" applyBorder="1" applyAlignment="1">
      <alignment horizontal="left"/>
    </xf>
    <xf numFmtId="0" fontId="11" fillId="38" borderId="17" xfId="0" applyFont="1" applyFill="1" applyBorder="1" applyAlignment="1">
      <alignment horizontal="center" vertical="center" wrapText="1"/>
    </xf>
    <xf numFmtId="0" fontId="11" fillId="38" borderId="19" xfId="0" applyFont="1" applyFill="1" applyBorder="1" applyAlignment="1">
      <alignment horizontal="center" vertical="center" wrapText="1"/>
    </xf>
    <xf numFmtId="0" fontId="11" fillId="38" borderId="20" xfId="0" applyFont="1" applyFill="1" applyBorder="1" applyAlignment="1">
      <alignment horizontal="center" vertical="center" wrapText="1"/>
    </xf>
    <xf numFmtId="0" fontId="16" fillId="46" borderId="27" xfId="0" applyFont="1" applyFill="1" applyBorder="1" applyAlignment="1">
      <alignment horizontal="center" vertical="center" wrapText="1"/>
    </xf>
    <xf numFmtId="0" fontId="118" fillId="41" borderId="19" xfId="0" applyFont="1" applyFill="1" applyBorder="1" applyAlignment="1">
      <alignment/>
    </xf>
    <xf numFmtId="4" fontId="115" fillId="41" borderId="14" xfId="0" applyNumberFormat="1" applyFont="1" applyFill="1" applyBorder="1" applyAlignment="1">
      <alignment/>
    </xf>
    <xf numFmtId="0" fontId="11" fillId="41" borderId="29" xfId="0" applyFont="1" applyFill="1" applyBorder="1" applyAlignment="1">
      <alignment vertical="center" wrapText="1"/>
    </xf>
    <xf numFmtId="0" fontId="11" fillId="41" borderId="27" xfId="0" applyFont="1" applyFill="1" applyBorder="1" applyAlignment="1">
      <alignment horizontal="center" vertical="center" wrapText="1"/>
    </xf>
    <xf numFmtId="0" fontId="11" fillId="41" borderId="33" xfId="0" applyFont="1" applyFill="1" applyBorder="1" applyAlignment="1">
      <alignment horizontal="center" vertical="center" wrapText="1"/>
    </xf>
    <xf numFmtId="4" fontId="12" fillId="41" borderId="16" xfId="0" applyNumberFormat="1" applyFont="1" applyFill="1" applyBorder="1" applyAlignment="1">
      <alignment/>
    </xf>
    <xf numFmtId="4" fontId="12" fillId="41" borderId="10" xfId="0" applyNumberFormat="1" applyFont="1" applyFill="1" applyBorder="1" applyAlignment="1">
      <alignment/>
    </xf>
    <xf numFmtId="0" fontId="117" fillId="41" borderId="34" xfId="0" applyFont="1" applyFill="1" applyBorder="1" applyAlignment="1">
      <alignment horizontal="center" wrapText="1"/>
    </xf>
    <xf numFmtId="0" fontId="118" fillId="41" borderId="35" xfId="0" applyFont="1" applyFill="1" applyBorder="1" applyAlignment="1">
      <alignment horizontal="center" wrapText="1"/>
    </xf>
    <xf numFmtId="0" fontId="118" fillId="41" borderId="19" xfId="0" applyFont="1" applyFill="1" applyBorder="1" applyAlignment="1">
      <alignment wrapText="1"/>
    </xf>
    <xf numFmtId="0" fontId="11" fillId="47" borderId="10" xfId="0" applyFont="1" applyFill="1" applyBorder="1" applyAlignment="1">
      <alignment horizontal="left"/>
    </xf>
    <xf numFmtId="0" fontId="6" fillId="33" borderId="25" xfId="0" applyFont="1" applyFill="1" applyBorder="1" applyAlignment="1">
      <alignment/>
    </xf>
    <xf numFmtId="4" fontId="0" fillId="41" borderId="25" xfId="0" applyNumberFormat="1" applyFill="1" applyBorder="1" applyAlignment="1">
      <alignment/>
    </xf>
    <xf numFmtId="4" fontId="0" fillId="40" borderId="25" xfId="0" applyNumberFormat="1" applyFill="1" applyBorder="1" applyAlignment="1">
      <alignment/>
    </xf>
    <xf numFmtId="0" fontId="0" fillId="0" borderId="0" xfId="0" applyBorder="1" applyAlignment="1">
      <alignment horizontal="center" wrapText="1"/>
    </xf>
    <xf numFmtId="4" fontId="0" fillId="40" borderId="36" xfId="0" applyNumberFormat="1" applyFill="1" applyBorder="1" applyAlignment="1">
      <alignment/>
    </xf>
    <xf numFmtId="4" fontId="0" fillId="33" borderId="37" xfId="0" applyNumberFormat="1" applyFill="1" applyBorder="1" applyAlignment="1">
      <alignment/>
    </xf>
    <xf numFmtId="4" fontId="0" fillId="33" borderId="38" xfId="0" applyNumberFormat="1" applyFill="1" applyBorder="1" applyAlignment="1">
      <alignment/>
    </xf>
    <xf numFmtId="4" fontId="0" fillId="41" borderId="37" xfId="0" applyNumberFormat="1" applyFill="1" applyBorder="1" applyAlignment="1">
      <alignment/>
    </xf>
    <xf numFmtId="4" fontId="0" fillId="41" borderId="38" xfId="0" applyNumberFormat="1" applyFill="1" applyBorder="1" applyAlignment="1">
      <alignment/>
    </xf>
    <xf numFmtId="4" fontId="0" fillId="40" borderId="37" xfId="0" applyNumberFormat="1" applyFill="1" applyBorder="1" applyAlignment="1">
      <alignment/>
    </xf>
    <xf numFmtId="4" fontId="0" fillId="40" borderId="38" xfId="0" applyNumberFormat="1" applyFill="1" applyBorder="1" applyAlignment="1">
      <alignment/>
    </xf>
    <xf numFmtId="4" fontId="0" fillId="33" borderId="39" xfId="0" applyNumberFormat="1" applyFill="1" applyBorder="1" applyAlignment="1">
      <alignment/>
    </xf>
    <xf numFmtId="4" fontId="0" fillId="33" borderId="40" xfId="0" applyNumberFormat="1" applyFill="1" applyBorder="1" applyAlignment="1">
      <alignment/>
    </xf>
    <xf numFmtId="4" fontId="0" fillId="41" borderId="40" xfId="0" applyNumberFormat="1" applyFill="1" applyBorder="1" applyAlignment="1">
      <alignment/>
    </xf>
    <xf numFmtId="4" fontId="0" fillId="33" borderId="41" xfId="0" applyNumberFormat="1" applyFill="1" applyBorder="1" applyAlignment="1">
      <alignment/>
    </xf>
    <xf numFmtId="17" fontId="6" fillId="3" borderId="42" xfId="0" applyNumberFormat="1" applyFont="1" applyFill="1" applyBorder="1" applyAlignment="1">
      <alignment horizontal="center"/>
    </xf>
    <xf numFmtId="0" fontId="6" fillId="33" borderId="43" xfId="0" applyFont="1" applyFill="1" applyBorder="1" applyAlignment="1">
      <alignment/>
    </xf>
    <xf numFmtId="4" fontId="0" fillId="41" borderId="43" xfId="0" applyNumberFormat="1" applyFill="1" applyBorder="1" applyAlignment="1">
      <alignment/>
    </xf>
    <xf numFmtId="4" fontId="0" fillId="40" borderId="43" xfId="0" applyNumberFormat="1" applyFill="1" applyBorder="1" applyAlignment="1">
      <alignment/>
    </xf>
    <xf numFmtId="4" fontId="0" fillId="40" borderId="44" xfId="0" applyNumberFormat="1" applyFill="1" applyBorder="1" applyAlignment="1">
      <alignment/>
    </xf>
    <xf numFmtId="4" fontId="0" fillId="33" borderId="42" xfId="0" applyNumberFormat="1" applyFill="1" applyBorder="1" applyAlignment="1">
      <alignment/>
    </xf>
    <xf numFmtId="4" fontId="0" fillId="33" borderId="43" xfId="0" applyNumberFormat="1" applyFill="1" applyBorder="1" applyAlignment="1">
      <alignment/>
    </xf>
    <xf numFmtId="4" fontId="0" fillId="33" borderId="45" xfId="0" applyNumberFormat="1" applyFill="1" applyBorder="1" applyAlignment="1">
      <alignment/>
    </xf>
    <xf numFmtId="4" fontId="0" fillId="33" borderId="46" xfId="0" applyNumberFormat="1" applyFill="1" applyBorder="1" applyAlignment="1">
      <alignment/>
    </xf>
    <xf numFmtId="4" fontId="0" fillId="33" borderId="47" xfId="0" applyNumberFormat="1" applyFill="1" applyBorder="1" applyAlignment="1">
      <alignment/>
    </xf>
    <xf numFmtId="0" fontId="0" fillId="6" borderId="13" xfId="0" applyFill="1" applyBorder="1" applyAlignment="1">
      <alignment/>
    </xf>
    <xf numFmtId="4" fontId="0" fillId="6" borderId="10" xfId="0" applyNumberFormat="1" applyFill="1" applyBorder="1" applyAlignment="1">
      <alignment/>
    </xf>
    <xf numFmtId="4" fontId="0" fillId="6" borderId="13" xfId="0" applyNumberFormat="1" applyFill="1" applyBorder="1" applyAlignment="1">
      <alignment/>
    </xf>
    <xf numFmtId="0" fontId="0" fillId="6" borderId="10" xfId="0" applyFill="1" applyBorder="1" applyAlignment="1">
      <alignment wrapText="1"/>
    </xf>
    <xf numFmtId="0" fontId="1" fillId="45" borderId="10" xfId="0" applyFont="1" applyFill="1" applyBorder="1" applyAlignment="1">
      <alignment/>
    </xf>
    <xf numFmtId="4" fontId="1" fillId="45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3" borderId="10" xfId="0" applyFill="1" applyBorder="1" applyAlignment="1">
      <alignment wrapText="1"/>
    </xf>
    <xf numFmtId="0" fontId="119" fillId="0" borderId="0" xfId="0" applyFont="1" applyAlignment="1">
      <alignment/>
    </xf>
    <xf numFmtId="0" fontId="120" fillId="0" borderId="0" xfId="0" applyFont="1" applyAlignment="1">
      <alignment/>
    </xf>
    <xf numFmtId="0" fontId="16" fillId="6" borderId="24" xfId="0" applyFont="1" applyFill="1" applyBorder="1" applyAlignment="1">
      <alignment horizontal="center" vertical="center" wrapText="1"/>
    </xf>
    <xf numFmtId="0" fontId="118" fillId="6" borderId="24" xfId="0" applyFont="1" applyFill="1" applyBorder="1" applyAlignment="1">
      <alignment horizontal="center" vertical="center" wrapText="1"/>
    </xf>
    <xf numFmtId="0" fontId="118" fillId="6" borderId="24" xfId="0" applyFont="1" applyFill="1" applyBorder="1" applyAlignment="1">
      <alignment vertical="center" wrapText="1"/>
    </xf>
    <xf numFmtId="0" fontId="118" fillId="6" borderId="48" xfId="0" applyFont="1" applyFill="1" applyBorder="1" applyAlignment="1">
      <alignment horizontal="center" vertical="center" wrapText="1"/>
    </xf>
    <xf numFmtId="4" fontId="12" fillId="6" borderId="22" xfId="0" applyNumberFormat="1" applyFont="1" applyFill="1" applyBorder="1" applyAlignment="1">
      <alignment/>
    </xf>
    <xf numFmtId="4" fontId="115" fillId="44" borderId="22" xfId="0" applyNumberFormat="1" applyFont="1" applyFill="1" applyBorder="1" applyAlignment="1">
      <alignment/>
    </xf>
    <xf numFmtId="4" fontId="115" fillId="6" borderId="49" xfId="0" applyNumberFormat="1" applyFont="1" applyFill="1" applyBorder="1" applyAlignment="1">
      <alignment/>
    </xf>
    <xf numFmtId="0" fontId="121" fillId="0" borderId="0" xfId="0" applyFont="1" applyAlignment="1">
      <alignment/>
    </xf>
    <xf numFmtId="0" fontId="11" fillId="45" borderId="25" xfId="0" applyFont="1" applyFill="1" applyBorder="1" applyAlignment="1">
      <alignment horizontal="center" vertical="center" wrapText="1"/>
    </xf>
    <xf numFmtId="4" fontId="115" fillId="13" borderId="30" xfId="0" applyNumberFormat="1" applyFont="1" applyFill="1" applyBorder="1" applyAlignment="1">
      <alignment/>
    </xf>
    <xf numFmtId="0" fontId="11" fillId="34" borderId="14" xfId="0" applyFont="1" applyFill="1" applyBorder="1" applyAlignment="1">
      <alignment horizontal="center" vertical="center" wrapText="1"/>
    </xf>
    <xf numFmtId="0" fontId="122" fillId="0" borderId="0" xfId="0" applyFont="1" applyAlignment="1">
      <alignment/>
    </xf>
    <xf numFmtId="0" fontId="11" fillId="0" borderId="10" xfId="0" applyFont="1" applyFill="1" applyBorder="1" applyAlignment="1">
      <alignment/>
    </xf>
    <xf numFmtId="0" fontId="11" fillId="34" borderId="18" xfId="0" applyFont="1" applyFill="1" applyBorder="1" applyAlignment="1">
      <alignment horizontal="center" vertical="center" wrapText="1"/>
    </xf>
    <xf numFmtId="0" fontId="15" fillId="46" borderId="10" xfId="0" applyFont="1" applyFill="1" applyBorder="1" applyAlignment="1">
      <alignment horizontal="center" vertical="center" wrapText="1"/>
    </xf>
    <xf numFmtId="0" fontId="11" fillId="34" borderId="46" xfId="0" applyFont="1" applyFill="1" applyBorder="1" applyAlignment="1">
      <alignment horizontal="center" vertical="center" wrapText="1"/>
    </xf>
    <xf numFmtId="0" fontId="11" fillId="34" borderId="47" xfId="0" applyFont="1" applyFill="1" applyBorder="1" applyAlignment="1">
      <alignment horizontal="center" vertical="center" wrapText="1"/>
    </xf>
    <xf numFmtId="0" fontId="40" fillId="42" borderId="16" xfId="0" applyFont="1" applyFill="1" applyBorder="1" applyAlignment="1">
      <alignment horizontal="right" vertical="center" wrapText="1"/>
    </xf>
    <xf numFmtId="4" fontId="123" fillId="41" borderId="10" xfId="0" applyNumberFormat="1" applyFont="1" applyFill="1" applyBorder="1" applyAlignment="1">
      <alignment/>
    </xf>
    <xf numFmtId="0" fontId="11" fillId="39" borderId="10" xfId="0" applyFont="1" applyFill="1" applyBorder="1" applyAlignment="1">
      <alignment horizontal="center" vertical="center" wrapText="1"/>
    </xf>
    <xf numFmtId="4" fontId="123" fillId="41" borderId="49" xfId="0" applyNumberFormat="1" applyFont="1" applyFill="1" applyBorder="1" applyAlignment="1">
      <alignment/>
    </xf>
    <xf numFmtId="4" fontId="123" fillId="41" borderId="16" xfId="0" applyNumberFormat="1" applyFont="1" applyFill="1" applyBorder="1" applyAlignment="1">
      <alignment/>
    </xf>
    <xf numFmtId="0" fontId="124" fillId="39" borderId="10" xfId="0" applyFont="1" applyFill="1" applyBorder="1" applyAlignment="1">
      <alignment horizontal="center" vertical="center" wrapText="1"/>
    </xf>
    <xf numFmtId="4" fontId="123" fillId="39" borderId="10" xfId="0" applyNumberFormat="1" applyFont="1" applyFill="1" applyBorder="1" applyAlignment="1">
      <alignment/>
    </xf>
    <xf numFmtId="4" fontId="21" fillId="39" borderId="10" xfId="0" applyNumberFormat="1" applyFont="1" applyFill="1" applyBorder="1" applyAlignment="1">
      <alignment/>
    </xf>
    <xf numFmtId="4" fontId="0" fillId="38" borderId="10" xfId="0" applyNumberFormat="1" applyFill="1" applyBorder="1" applyAlignment="1">
      <alignment/>
    </xf>
    <xf numFmtId="4" fontId="1" fillId="35" borderId="14" xfId="0" applyNumberFormat="1" applyFont="1" applyFill="1" applyBorder="1" applyAlignment="1">
      <alignment/>
    </xf>
    <xf numFmtId="2" fontId="1" fillId="4" borderId="13" xfId="0" applyNumberFormat="1" applyFont="1" applyFill="1" applyBorder="1" applyAlignment="1">
      <alignment horizontal="right"/>
    </xf>
    <xf numFmtId="4" fontId="115" fillId="37" borderId="14" xfId="0" applyNumberFormat="1" applyFont="1" applyFill="1" applyBorder="1" applyAlignment="1">
      <alignment/>
    </xf>
    <xf numFmtId="4" fontId="115" fillId="49" borderId="10" xfId="0" applyNumberFormat="1" applyFont="1" applyFill="1" applyBorder="1" applyAlignment="1">
      <alignment/>
    </xf>
    <xf numFmtId="4" fontId="115" fillId="49" borderId="14" xfId="0" applyNumberFormat="1" applyFont="1" applyFill="1" applyBorder="1" applyAlignment="1">
      <alignment/>
    </xf>
    <xf numFmtId="0" fontId="40" fillId="49" borderId="16" xfId="0" applyFont="1" applyFill="1" applyBorder="1" applyAlignment="1">
      <alignment horizontal="right" vertical="center" wrapText="1"/>
    </xf>
    <xf numFmtId="4" fontId="115" fillId="50" borderId="10" xfId="0" applyNumberFormat="1" applyFont="1" applyFill="1" applyBorder="1" applyAlignment="1">
      <alignment/>
    </xf>
    <xf numFmtId="0" fontId="40" fillId="37" borderId="10" xfId="0" applyFont="1" applyFill="1" applyBorder="1" applyAlignment="1">
      <alignment horizontal="center" vertical="center" wrapText="1"/>
    </xf>
    <xf numFmtId="4" fontId="115" fillId="33" borderId="10" xfId="0" applyNumberFormat="1" applyFont="1" applyFill="1" applyBorder="1" applyAlignment="1">
      <alignment/>
    </xf>
    <xf numFmtId="4" fontId="115" fillId="33" borderId="14" xfId="0" applyNumberFormat="1" applyFont="1" applyFill="1" applyBorder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right" vertical="center" wrapText="1"/>
    </xf>
    <xf numFmtId="4" fontId="115" fillId="33" borderId="10" xfId="0" applyNumberFormat="1" applyFont="1" applyFill="1" applyBorder="1" applyAlignment="1">
      <alignment horizontal="right"/>
    </xf>
    <xf numFmtId="0" fontId="11" fillId="7" borderId="10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4" fontId="115" fillId="0" borderId="10" xfId="0" applyNumberFormat="1" applyFont="1" applyBorder="1" applyAlignment="1">
      <alignment/>
    </xf>
    <xf numFmtId="4" fontId="115" fillId="0" borderId="14" xfId="0" applyNumberFormat="1" applyFont="1" applyBorder="1" applyAlignment="1">
      <alignment/>
    </xf>
    <xf numFmtId="0" fontId="115" fillId="0" borderId="15" xfId="0" applyFont="1" applyBorder="1" applyAlignment="1">
      <alignment/>
    </xf>
    <xf numFmtId="4" fontId="106" fillId="0" borderId="11" xfId="0" applyNumberFormat="1" applyFont="1" applyFill="1" applyBorder="1" applyAlignment="1">
      <alignment/>
    </xf>
    <xf numFmtId="4" fontId="115" fillId="32" borderId="10" xfId="0" applyNumberFormat="1" applyFont="1" applyFill="1" applyBorder="1" applyAlignment="1">
      <alignment/>
    </xf>
    <xf numFmtId="0" fontId="115" fillId="0" borderId="0" xfId="0" applyFont="1" applyAlignment="1">
      <alignment/>
    </xf>
    <xf numFmtId="0" fontId="124" fillId="0" borderId="10" xfId="0" applyFont="1" applyBorder="1" applyAlignment="1">
      <alignment/>
    </xf>
    <xf numFmtId="4" fontId="115" fillId="41" borderId="22" xfId="0" applyNumberFormat="1" applyFont="1" applyFill="1" applyBorder="1" applyAlignment="1">
      <alignment/>
    </xf>
    <xf numFmtId="0" fontId="115" fillId="0" borderId="14" xfId="0" applyFont="1" applyBorder="1" applyAlignment="1">
      <alignment/>
    </xf>
    <xf numFmtId="0" fontId="35" fillId="42" borderId="16" xfId="0" applyFont="1" applyFill="1" applyBorder="1" applyAlignment="1">
      <alignment horizontal="center" vertical="center" wrapText="1"/>
    </xf>
    <xf numFmtId="0" fontId="40" fillId="7" borderId="10" xfId="0" applyFont="1" applyFill="1" applyBorder="1" applyAlignment="1">
      <alignment vertical="center" wrapText="1"/>
    </xf>
    <xf numFmtId="0" fontId="40" fillId="7" borderId="10" xfId="0" applyFont="1" applyFill="1" applyBorder="1" applyAlignment="1">
      <alignment horizontal="right" vertical="center" wrapText="1"/>
    </xf>
    <xf numFmtId="0" fontId="22" fillId="42" borderId="16" xfId="0" applyFont="1" applyFill="1" applyBorder="1" applyAlignment="1">
      <alignment horizontal="center" vertical="center" wrapText="1"/>
    </xf>
    <xf numFmtId="4" fontId="125" fillId="42" borderId="10" xfId="0" applyNumberFormat="1" applyFont="1" applyFill="1" applyBorder="1" applyAlignment="1">
      <alignment horizontal="center" vertical="center"/>
    </xf>
    <xf numFmtId="4" fontId="125" fillId="42" borderId="10" xfId="0" applyNumberFormat="1" applyFont="1" applyFill="1" applyBorder="1" applyAlignment="1">
      <alignment horizontal="center"/>
    </xf>
    <xf numFmtId="4" fontId="126" fillId="49" borderId="10" xfId="0" applyNumberFormat="1" applyFont="1" applyFill="1" applyBorder="1" applyAlignment="1">
      <alignment/>
    </xf>
    <xf numFmtId="4" fontId="126" fillId="49" borderId="10" xfId="0" applyNumberFormat="1" applyFont="1" applyFill="1" applyBorder="1" applyAlignment="1">
      <alignment horizontal="center" vertical="center"/>
    </xf>
    <xf numFmtId="0" fontId="23" fillId="49" borderId="16" xfId="0" applyFont="1" applyFill="1" applyBorder="1" applyAlignment="1">
      <alignment horizontal="center" vertical="center" wrapText="1"/>
    </xf>
    <xf numFmtId="0" fontId="22" fillId="51" borderId="10" xfId="0" applyFont="1" applyFill="1" applyBorder="1" applyAlignment="1">
      <alignment horizontal="center" vertical="center" wrapText="1"/>
    </xf>
    <xf numFmtId="4" fontId="125" fillId="51" borderId="10" xfId="0" applyNumberFormat="1" applyFont="1" applyFill="1" applyBorder="1" applyAlignment="1">
      <alignment horizontal="center"/>
    </xf>
    <xf numFmtId="4" fontId="125" fillId="51" borderId="10" xfId="0" applyNumberFormat="1" applyFont="1" applyFill="1" applyBorder="1" applyAlignment="1">
      <alignment horizontal="center" vertical="center"/>
    </xf>
    <xf numFmtId="4" fontId="126" fillId="51" borderId="25" xfId="0" applyNumberFormat="1" applyFont="1" applyFill="1" applyBorder="1" applyAlignment="1">
      <alignment horizontal="center" vertical="center"/>
    </xf>
    <xf numFmtId="0" fontId="126" fillId="0" borderId="10" xfId="0" applyFont="1" applyBorder="1" applyAlignment="1">
      <alignment horizontal="center" vertical="center"/>
    </xf>
    <xf numFmtId="0" fontId="125" fillId="41" borderId="10" xfId="0" applyFont="1" applyFill="1" applyBorder="1" applyAlignment="1">
      <alignment horizontal="center" vertical="center"/>
    </xf>
    <xf numFmtId="0" fontId="11" fillId="41" borderId="50" xfId="0" applyFont="1" applyFill="1" applyBorder="1" applyAlignment="1">
      <alignment horizontal="center" vertical="center" wrapText="1"/>
    </xf>
    <xf numFmtId="4" fontId="126" fillId="0" borderId="10" xfId="0" applyNumberFormat="1" applyFont="1" applyBorder="1" applyAlignment="1">
      <alignment horizontal="center" vertical="center"/>
    </xf>
    <xf numFmtId="0" fontId="22" fillId="41" borderId="10" xfId="0" applyFont="1" applyFill="1" applyBorder="1" applyAlignment="1">
      <alignment horizontal="center" vertical="center" wrapText="1"/>
    </xf>
    <xf numFmtId="4" fontId="126" fillId="52" borderId="10" xfId="0" applyNumberFormat="1" applyFont="1" applyFill="1" applyBorder="1" applyAlignment="1">
      <alignment horizontal="center" vertical="center"/>
    </xf>
    <xf numFmtId="4" fontId="126" fillId="32" borderId="10" xfId="0" applyNumberFormat="1" applyFont="1" applyFill="1" applyBorder="1" applyAlignment="1">
      <alignment horizontal="center" vertical="center"/>
    </xf>
    <xf numFmtId="4" fontId="125" fillId="32" borderId="10" xfId="0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vertical="center" wrapText="1"/>
    </xf>
    <xf numFmtId="4" fontId="126" fillId="33" borderId="10" xfId="0" applyNumberFormat="1" applyFont="1" applyFill="1" applyBorder="1" applyAlignment="1">
      <alignment/>
    </xf>
    <xf numFmtId="4" fontId="126" fillId="37" borderId="10" xfId="0" applyNumberFormat="1" applyFont="1" applyFill="1" applyBorder="1" applyAlignment="1">
      <alignment/>
    </xf>
    <xf numFmtId="0" fontId="23" fillId="51" borderId="10" xfId="0" applyFont="1" applyFill="1" applyBorder="1" applyAlignment="1">
      <alignment horizontal="center" vertical="center" wrapText="1"/>
    </xf>
    <xf numFmtId="4" fontId="126" fillId="51" borderId="10" xfId="0" applyNumberFormat="1" applyFont="1" applyFill="1" applyBorder="1" applyAlignment="1">
      <alignment horizontal="center"/>
    </xf>
    <xf numFmtId="4" fontId="126" fillId="3" borderId="10" xfId="0" applyNumberFormat="1" applyFont="1" applyFill="1" applyBorder="1" applyAlignment="1">
      <alignment horizontal="center"/>
    </xf>
    <xf numFmtId="4" fontId="126" fillId="49" borderId="10" xfId="0" applyNumberFormat="1" applyFont="1" applyFill="1" applyBorder="1" applyAlignment="1">
      <alignment horizontal="center"/>
    </xf>
    <xf numFmtId="4" fontId="22" fillId="41" borderId="10" xfId="0" applyNumberFormat="1" applyFont="1" applyFill="1" applyBorder="1" applyAlignment="1">
      <alignment horizontal="center" vertical="center" wrapText="1"/>
    </xf>
    <xf numFmtId="4" fontId="22" fillId="32" borderId="14" xfId="0" applyNumberFormat="1" applyFont="1" applyFill="1" applyBorder="1" applyAlignment="1">
      <alignment vertical="center" wrapText="1"/>
    </xf>
    <xf numFmtId="4" fontId="11" fillId="32" borderId="14" xfId="0" applyNumberFormat="1" applyFont="1" applyFill="1" applyBorder="1" applyAlignment="1">
      <alignment horizontal="center" vertical="center" wrapText="1"/>
    </xf>
    <xf numFmtId="4" fontId="22" fillId="32" borderId="14" xfId="0" applyNumberFormat="1" applyFont="1" applyFill="1" applyBorder="1" applyAlignment="1">
      <alignment horizontal="center" vertical="center" wrapText="1"/>
    </xf>
    <xf numFmtId="0" fontId="11" fillId="41" borderId="10" xfId="0" applyFont="1" applyFill="1" applyBorder="1" applyAlignment="1">
      <alignment horizontal="left"/>
    </xf>
    <xf numFmtId="4" fontId="125" fillId="33" borderId="10" xfId="0" applyNumberFormat="1" applyFont="1" applyFill="1" applyBorder="1" applyAlignment="1">
      <alignment/>
    </xf>
    <xf numFmtId="0" fontId="23" fillId="42" borderId="16" xfId="0" applyFont="1" applyFill="1" applyBorder="1" applyAlignment="1">
      <alignment horizontal="center" vertical="center" wrapText="1"/>
    </xf>
    <xf numFmtId="4" fontId="126" fillId="42" borderId="10" xfId="0" applyNumberFormat="1" applyFont="1" applyFill="1" applyBorder="1" applyAlignment="1">
      <alignment horizontal="center"/>
    </xf>
    <xf numFmtId="4" fontId="25" fillId="3" borderId="10" xfId="0" applyNumberFormat="1" applyFont="1" applyFill="1" applyBorder="1" applyAlignment="1">
      <alignment horizontal="center"/>
    </xf>
    <xf numFmtId="4" fontId="126" fillId="0" borderId="10" xfId="0" applyNumberFormat="1" applyFont="1" applyFill="1" applyBorder="1" applyAlignment="1">
      <alignment horizontal="center"/>
    </xf>
    <xf numFmtId="4" fontId="126" fillId="0" borderId="10" xfId="0" applyNumberFormat="1" applyFont="1" applyBorder="1" applyAlignment="1">
      <alignment horizontal="center"/>
    </xf>
    <xf numFmtId="4" fontId="25" fillId="0" borderId="10" xfId="0" applyNumberFormat="1" applyFont="1" applyBorder="1" applyAlignment="1">
      <alignment horizontal="center"/>
    </xf>
    <xf numFmtId="49" fontId="27" fillId="45" borderId="10" xfId="0" applyNumberFormat="1" applyFont="1" applyFill="1" applyBorder="1" applyAlignment="1">
      <alignment horizontal="center" vertical="center"/>
    </xf>
    <xf numFmtId="0" fontId="127" fillId="0" borderId="10" xfId="0" applyFont="1" applyBorder="1" applyAlignment="1">
      <alignment horizontal="center" vertical="center"/>
    </xf>
    <xf numFmtId="0" fontId="127" fillId="41" borderId="10" xfId="0" applyFont="1" applyFill="1" applyBorder="1" applyAlignment="1">
      <alignment horizontal="center" vertical="center" wrapText="1"/>
    </xf>
    <xf numFmtId="0" fontId="123" fillId="7" borderId="10" xfId="0" applyFont="1" applyFill="1" applyBorder="1" applyAlignment="1">
      <alignment horizontal="center" vertical="center"/>
    </xf>
    <xf numFmtId="0" fontId="128" fillId="41" borderId="10" xfId="0" applyFont="1" applyFill="1" applyBorder="1" applyAlignment="1">
      <alignment horizontal="center" vertical="center"/>
    </xf>
    <xf numFmtId="0" fontId="128" fillId="53" borderId="10" xfId="0" applyFont="1" applyFill="1" applyBorder="1" applyAlignment="1">
      <alignment horizontal="center" vertical="center"/>
    </xf>
    <xf numFmtId="0" fontId="123" fillId="0" borderId="10" xfId="0" applyFont="1" applyBorder="1" applyAlignment="1">
      <alignment horizontal="center" vertical="center"/>
    </xf>
    <xf numFmtId="0" fontId="0" fillId="38" borderId="11" xfId="0" applyFill="1" applyBorder="1" applyAlignment="1">
      <alignment horizontal="center" wrapText="1"/>
    </xf>
    <xf numFmtId="4" fontId="0" fillId="38" borderId="11" xfId="0" applyNumberFormat="1" applyFill="1" applyBorder="1" applyAlignment="1">
      <alignment/>
    </xf>
    <xf numFmtId="0" fontId="57" fillId="38" borderId="11" xfId="0" applyFont="1" applyFill="1" applyBorder="1" applyAlignment="1">
      <alignment horizontal="center" wrapText="1"/>
    </xf>
    <xf numFmtId="0" fontId="0" fillId="38" borderId="15" xfId="0" applyFill="1" applyBorder="1" applyAlignment="1">
      <alignment/>
    </xf>
    <xf numFmtId="4" fontId="0" fillId="41" borderId="51" xfId="0" applyNumberFormat="1" applyFill="1" applyBorder="1" applyAlignment="1">
      <alignment/>
    </xf>
    <xf numFmtId="4" fontId="0" fillId="41" borderId="14" xfId="0" applyNumberFormat="1" applyFill="1" applyBorder="1" applyAlignment="1">
      <alignment/>
    </xf>
    <xf numFmtId="0" fontId="11" fillId="53" borderId="10" xfId="0" applyFont="1" applyFill="1" applyBorder="1" applyAlignment="1">
      <alignment horizontal="left"/>
    </xf>
    <xf numFmtId="4" fontId="6" fillId="33" borderId="29" xfId="0" applyNumberFormat="1" applyFont="1" applyFill="1" applyBorder="1" applyAlignment="1">
      <alignment/>
    </xf>
    <xf numFmtId="4" fontId="6" fillId="34" borderId="29" xfId="0" applyNumberFormat="1" applyFont="1" applyFill="1" applyBorder="1" applyAlignment="1">
      <alignment/>
    </xf>
    <xf numFmtId="4" fontId="6" fillId="34" borderId="52" xfId="0" applyNumberFormat="1" applyFont="1" applyFill="1" applyBorder="1" applyAlignment="1">
      <alignment/>
    </xf>
    <xf numFmtId="4" fontId="28" fillId="54" borderId="53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15" borderId="10" xfId="0" applyFill="1" applyBorder="1" applyAlignment="1">
      <alignment/>
    </xf>
    <xf numFmtId="0" fontId="0" fillId="15" borderId="11" xfId="0" applyFill="1" applyBorder="1" applyAlignment="1">
      <alignment/>
    </xf>
    <xf numFmtId="4" fontId="0" fillId="15" borderId="10" xfId="0" applyNumberFormat="1" applyFill="1" applyBorder="1" applyAlignment="1">
      <alignment/>
    </xf>
    <xf numFmtId="4" fontId="0" fillId="15" borderId="11" xfId="0" applyNumberFormat="1" applyFill="1" applyBorder="1" applyAlignment="1">
      <alignment/>
    </xf>
    <xf numFmtId="4" fontId="0" fillId="15" borderId="14" xfId="0" applyNumberFormat="1" applyFill="1" applyBorder="1" applyAlignment="1">
      <alignment/>
    </xf>
    <xf numFmtId="4" fontId="0" fillId="15" borderId="15" xfId="0" applyNumberFormat="1" applyFill="1" applyBorder="1" applyAlignment="1">
      <alignment/>
    </xf>
    <xf numFmtId="4" fontId="0" fillId="15" borderId="10" xfId="0" applyNumberFormat="1" applyFont="1" applyFill="1" applyBorder="1" applyAlignment="1">
      <alignment/>
    </xf>
    <xf numFmtId="0" fontId="0" fillId="15" borderId="10" xfId="0" applyFont="1" applyFill="1" applyBorder="1" applyAlignment="1">
      <alignment horizontal="center"/>
    </xf>
    <xf numFmtId="4" fontId="0" fillId="15" borderId="10" xfId="0" applyNumberFormat="1" applyFont="1" applyFill="1" applyBorder="1" applyAlignment="1">
      <alignment horizontal="center"/>
    </xf>
    <xf numFmtId="0" fontId="0" fillId="9" borderId="10" xfId="0" applyFont="1" applyFill="1" applyBorder="1" applyAlignment="1">
      <alignment/>
    </xf>
    <xf numFmtId="4" fontId="1" fillId="9" borderId="10" xfId="0" applyNumberFormat="1" applyFont="1" applyFill="1" applyBorder="1" applyAlignment="1">
      <alignment/>
    </xf>
    <xf numFmtId="4" fontId="0" fillId="9" borderId="10" xfId="0" applyNumberFormat="1" applyFont="1" applyFill="1" applyBorder="1" applyAlignment="1">
      <alignment/>
    </xf>
    <xf numFmtId="4" fontId="115" fillId="55" borderId="16" xfId="0" applyNumberFormat="1" applyFont="1" applyFill="1" applyBorder="1" applyAlignment="1">
      <alignment/>
    </xf>
    <xf numFmtId="4" fontId="20" fillId="55" borderId="10" xfId="0" applyNumberFormat="1" applyFont="1" applyFill="1" applyBorder="1" applyAlignment="1">
      <alignment horizontal="center" wrapText="1"/>
    </xf>
    <xf numFmtId="4" fontId="126" fillId="55" borderId="16" xfId="0" applyNumberFormat="1" applyFont="1" applyFill="1" applyBorder="1" applyAlignment="1">
      <alignment horizontal="center" vertical="center"/>
    </xf>
    <xf numFmtId="4" fontId="12" fillId="56" borderId="16" xfId="0" applyNumberFormat="1" applyFont="1" applyFill="1" applyBorder="1" applyAlignment="1">
      <alignment/>
    </xf>
    <xf numFmtId="4" fontId="115" fillId="57" borderId="16" xfId="0" applyNumberFormat="1" applyFont="1" applyFill="1" applyBorder="1" applyAlignment="1">
      <alignment/>
    </xf>
    <xf numFmtId="4" fontId="115" fillId="57" borderId="10" xfId="0" applyNumberFormat="1" applyFont="1" applyFill="1" applyBorder="1" applyAlignment="1">
      <alignment/>
    </xf>
    <xf numFmtId="4" fontId="118" fillId="57" borderId="10" xfId="0" applyNumberFormat="1" applyFont="1" applyFill="1" applyBorder="1" applyAlignment="1">
      <alignment/>
    </xf>
    <xf numFmtId="4" fontId="17" fillId="57" borderId="10" xfId="0" applyNumberFormat="1" applyFont="1" applyFill="1" applyBorder="1" applyAlignment="1">
      <alignment/>
    </xf>
    <xf numFmtId="4" fontId="115" fillId="58" borderId="16" xfId="0" applyNumberFormat="1" applyFont="1" applyFill="1" applyBorder="1" applyAlignment="1">
      <alignment/>
    </xf>
    <xf numFmtId="4" fontId="115" fillId="58" borderId="10" xfId="0" applyNumberFormat="1" applyFont="1" applyFill="1" applyBorder="1" applyAlignment="1">
      <alignment/>
    </xf>
    <xf numFmtId="0" fontId="129" fillId="32" borderId="0" xfId="0" applyFont="1" applyFill="1" applyAlignment="1">
      <alignment/>
    </xf>
    <xf numFmtId="0" fontId="130" fillId="32" borderId="0" xfId="0" applyFont="1" applyFill="1" applyAlignment="1">
      <alignment/>
    </xf>
    <xf numFmtId="0" fontId="122" fillId="32" borderId="0" xfId="0" applyFont="1" applyFill="1" applyAlignment="1">
      <alignment/>
    </xf>
    <xf numFmtId="0" fontId="11" fillId="58" borderId="16" xfId="0" applyFont="1" applyFill="1" applyBorder="1" applyAlignment="1">
      <alignment horizontal="center" vertical="center" wrapText="1"/>
    </xf>
    <xf numFmtId="0" fontId="11" fillId="58" borderId="10" xfId="0" applyFont="1" applyFill="1" applyBorder="1" applyAlignment="1">
      <alignment horizontal="center" vertical="center" wrapText="1"/>
    </xf>
    <xf numFmtId="4" fontId="11" fillId="58" borderId="10" xfId="0" applyNumberFormat="1" applyFont="1" applyFill="1" applyBorder="1" applyAlignment="1">
      <alignment/>
    </xf>
    <xf numFmtId="0" fontId="11" fillId="6" borderId="10" xfId="0" applyFont="1" applyFill="1" applyBorder="1" applyAlignment="1">
      <alignment horizontal="center" vertical="center" wrapText="1"/>
    </xf>
    <xf numFmtId="0" fontId="115" fillId="41" borderId="24" xfId="0" applyFont="1" applyFill="1" applyBorder="1" applyAlignment="1">
      <alignment horizontal="center"/>
    </xf>
    <xf numFmtId="0" fontId="11" fillId="47" borderId="54" xfId="0" applyFont="1" applyFill="1" applyBorder="1" applyAlignment="1">
      <alignment horizontal="center" vertical="center" wrapText="1"/>
    </xf>
    <xf numFmtId="0" fontId="11" fillId="44" borderId="30" xfId="0" applyFont="1" applyFill="1" applyBorder="1" applyAlignment="1">
      <alignment horizontal="center" vertical="center" wrapText="1"/>
    </xf>
    <xf numFmtId="4" fontId="125" fillId="59" borderId="10" xfId="0" applyNumberFormat="1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 wrapText="1"/>
    </xf>
    <xf numFmtId="4" fontId="125" fillId="59" borderId="10" xfId="0" applyNumberFormat="1" applyFont="1" applyFill="1" applyBorder="1" applyAlignment="1">
      <alignment horizontal="center"/>
    </xf>
    <xf numFmtId="0" fontId="115" fillId="41" borderId="24" xfId="0" applyFont="1" applyFill="1" applyBorder="1" applyAlignment="1">
      <alignment/>
    </xf>
    <xf numFmtId="0" fontId="115" fillId="41" borderId="24" xfId="0" applyFont="1" applyFill="1" applyBorder="1" applyAlignment="1">
      <alignment wrapText="1"/>
    </xf>
    <xf numFmtId="0" fontId="115" fillId="41" borderId="34" xfId="0" applyFont="1" applyFill="1" applyBorder="1" applyAlignment="1">
      <alignment horizontal="center" wrapText="1"/>
    </xf>
    <xf numFmtId="4" fontId="11" fillId="59" borderId="10" xfId="0" applyNumberFormat="1" applyFont="1" applyFill="1" applyBorder="1" applyAlignment="1">
      <alignment/>
    </xf>
    <xf numFmtId="0" fontId="11" fillId="0" borderId="48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4" fontId="40" fillId="47" borderId="16" xfId="0" applyNumberFormat="1" applyFont="1" applyFill="1" applyBorder="1" applyAlignment="1">
      <alignment/>
    </xf>
    <xf numFmtId="4" fontId="40" fillId="47" borderId="10" xfId="0" applyNumberFormat="1" applyFont="1" applyFill="1" applyBorder="1" applyAlignment="1">
      <alignment/>
    </xf>
    <xf numFmtId="4" fontId="40" fillId="47" borderId="14" xfId="0" applyNumberFormat="1" applyFont="1" applyFill="1" applyBorder="1" applyAlignment="1">
      <alignment/>
    </xf>
    <xf numFmtId="0" fontId="126" fillId="0" borderId="10" xfId="0" applyFont="1" applyBorder="1" applyAlignment="1">
      <alignment/>
    </xf>
    <xf numFmtId="0" fontId="125" fillId="0" borderId="10" xfId="0" applyFont="1" applyBorder="1" applyAlignment="1">
      <alignment/>
    </xf>
    <xf numFmtId="0" fontId="16" fillId="6" borderId="55" xfId="0" applyFont="1" applyFill="1" applyBorder="1" applyAlignment="1">
      <alignment horizontal="center" vertical="center" wrapText="1"/>
    </xf>
    <xf numFmtId="0" fontId="22" fillId="60" borderId="10" xfId="0" applyFont="1" applyFill="1" applyBorder="1" applyAlignment="1">
      <alignment/>
    </xf>
    <xf numFmtId="0" fontId="127" fillId="60" borderId="10" xfId="0" applyFont="1" applyFill="1" applyBorder="1" applyAlignment="1">
      <alignment/>
    </xf>
    <xf numFmtId="4" fontId="127" fillId="60" borderId="10" xfId="0" applyNumberFormat="1" applyFont="1" applyFill="1" applyBorder="1" applyAlignment="1">
      <alignment/>
    </xf>
    <xf numFmtId="0" fontId="126" fillId="60" borderId="10" xfId="0" applyFont="1" applyFill="1" applyBorder="1" applyAlignment="1">
      <alignment/>
    </xf>
    <xf numFmtId="4" fontId="11" fillId="47" borderId="10" xfId="0" applyNumberFormat="1" applyFont="1" applyFill="1" applyBorder="1" applyAlignment="1">
      <alignment/>
    </xf>
    <xf numFmtId="0" fontId="127" fillId="47" borderId="10" xfId="0" applyFont="1" applyFill="1" applyBorder="1" applyAlignment="1">
      <alignment/>
    </xf>
    <xf numFmtId="0" fontId="11" fillId="61" borderId="10" xfId="0" applyFont="1" applyFill="1" applyBorder="1" applyAlignment="1">
      <alignment/>
    </xf>
    <xf numFmtId="0" fontId="125" fillId="61" borderId="10" xfId="0" applyFont="1" applyFill="1" applyBorder="1" applyAlignment="1">
      <alignment/>
    </xf>
    <xf numFmtId="4" fontId="11" fillId="62" borderId="10" xfId="0" applyNumberFormat="1" applyFont="1" applyFill="1" applyBorder="1" applyAlignment="1">
      <alignment/>
    </xf>
    <xf numFmtId="0" fontId="11" fillId="62" borderId="10" xfId="0" applyFont="1" applyFill="1" applyBorder="1" applyAlignment="1">
      <alignment/>
    </xf>
    <xf numFmtId="0" fontId="115" fillId="62" borderId="10" xfId="0" applyFont="1" applyFill="1" applyBorder="1" applyAlignment="1">
      <alignment/>
    </xf>
    <xf numFmtId="4" fontId="0" fillId="62" borderId="10" xfId="0" applyNumberFormat="1" applyFont="1" applyFill="1" applyBorder="1" applyAlignment="1">
      <alignment/>
    </xf>
    <xf numFmtId="0" fontId="0" fillId="62" borderId="10" xfId="0" applyFill="1" applyBorder="1" applyAlignment="1">
      <alignment/>
    </xf>
    <xf numFmtId="0" fontId="22" fillId="0" borderId="10" xfId="0" applyFont="1" applyFill="1" applyBorder="1" applyAlignment="1">
      <alignment/>
    </xf>
    <xf numFmtId="0" fontId="31" fillId="62" borderId="10" xfId="0" applyFont="1" applyFill="1" applyBorder="1" applyAlignment="1">
      <alignment/>
    </xf>
    <xf numFmtId="0" fontId="131" fillId="0" borderId="21" xfId="0" applyFont="1" applyBorder="1" applyAlignment="1">
      <alignment horizontal="center" vertical="center" wrapText="1"/>
    </xf>
    <xf numFmtId="0" fontId="129" fillId="0" borderId="56" xfId="0" applyFont="1" applyBorder="1" applyAlignment="1">
      <alignment horizontal="center" vertical="center" wrapText="1"/>
    </xf>
    <xf numFmtId="0" fontId="16" fillId="42" borderId="32" xfId="0" applyFont="1" applyFill="1" applyBorder="1" applyAlignment="1">
      <alignment horizontal="center" vertical="center" wrapText="1"/>
    </xf>
    <xf numFmtId="0" fontId="18" fillId="62" borderId="14" xfId="0" applyFont="1" applyFill="1" applyBorder="1" applyAlignment="1">
      <alignment horizontal="left"/>
    </xf>
    <xf numFmtId="0" fontId="22" fillId="62" borderId="14" xfId="0" applyFont="1" applyFill="1" applyBorder="1" applyAlignment="1">
      <alignment/>
    </xf>
    <xf numFmtId="0" fontId="16" fillId="0" borderId="2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32" fillId="0" borderId="21" xfId="0" applyFont="1" applyBorder="1" applyAlignment="1">
      <alignment horizontal="center" vertical="center" wrapText="1"/>
    </xf>
    <xf numFmtId="0" fontId="129" fillId="0" borderId="14" xfId="0" applyFont="1" applyBorder="1" applyAlignment="1">
      <alignment horizontal="center" vertical="center" wrapText="1"/>
    </xf>
    <xf numFmtId="0" fontId="132" fillId="0" borderId="14" xfId="0" applyFont="1" applyBorder="1" applyAlignment="1">
      <alignment horizontal="center" vertical="center" wrapText="1"/>
    </xf>
    <xf numFmtId="0" fontId="11" fillId="43" borderId="46" xfId="0" applyFont="1" applyFill="1" applyBorder="1" applyAlignment="1">
      <alignment horizontal="center" vertical="center" wrapText="1"/>
    </xf>
    <xf numFmtId="4" fontId="123" fillId="39" borderId="14" xfId="0" applyNumberFormat="1" applyFont="1" applyFill="1" applyBorder="1" applyAlignment="1">
      <alignment/>
    </xf>
    <xf numFmtId="0" fontId="133" fillId="62" borderId="10" xfId="0" applyFont="1" applyFill="1" applyBorder="1" applyAlignment="1">
      <alignment/>
    </xf>
    <xf numFmtId="4" fontId="21" fillId="39" borderId="36" xfId="0" applyNumberFormat="1" applyFont="1" applyFill="1" applyBorder="1" applyAlignment="1">
      <alignment/>
    </xf>
    <xf numFmtId="4" fontId="0" fillId="62" borderId="10" xfId="0" applyNumberFormat="1" applyFill="1" applyBorder="1" applyAlignment="1">
      <alignment/>
    </xf>
    <xf numFmtId="4" fontId="115" fillId="62" borderId="14" xfId="0" applyNumberFormat="1" applyFont="1" applyFill="1" applyBorder="1" applyAlignment="1">
      <alignment/>
    </xf>
    <xf numFmtId="0" fontId="32" fillId="0" borderId="16" xfId="0" applyFont="1" applyBorder="1" applyAlignment="1">
      <alignment horizontal="center" vertical="center" wrapText="1"/>
    </xf>
    <xf numFmtId="0" fontId="22" fillId="46" borderId="14" xfId="0" applyFont="1" applyFill="1" applyBorder="1" applyAlignment="1">
      <alignment vertical="center" wrapText="1"/>
    </xf>
    <xf numFmtId="0" fontId="22" fillId="7" borderId="14" xfId="0" applyFont="1" applyFill="1" applyBorder="1" applyAlignment="1">
      <alignment vertical="center" wrapText="1"/>
    </xf>
    <xf numFmtId="0" fontId="22" fillId="45" borderId="14" xfId="0" applyFont="1" applyFill="1" applyBorder="1" applyAlignment="1">
      <alignment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45" borderId="16" xfId="0" applyFont="1" applyFill="1" applyBorder="1" applyAlignment="1">
      <alignment horizontal="center" vertical="center" wrapText="1"/>
    </xf>
    <xf numFmtId="0" fontId="22" fillId="46" borderId="10" xfId="0" applyFont="1" applyFill="1" applyBorder="1" applyAlignment="1">
      <alignment horizontal="center" vertical="center" wrapText="1"/>
    </xf>
    <xf numFmtId="0" fontId="22" fillId="46" borderId="16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22" fillId="45" borderId="10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left"/>
    </xf>
    <xf numFmtId="4" fontId="126" fillId="42" borderId="10" xfId="0" applyNumberFormat="1" applyFont="1" applyFill="1" applyBorder="1" applyAlignment="1">
      <alignment/>
    </xf>
    <xf numFmtId="0" fontId="23" fillId="42" borderId="16" xfId="0" applyFont="1" applyFill="1" applyBorder="1" applyAlignment="1">
      <alignment vertical="center" wrapText="1"/>
    </xf>
    <xf numFmtId="0" fontId="22" fillId="42" borderId="16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left"/>
    </xf>
    <xf numFmtId="4" fontId="126" fillId="42" borderId="10" xfId="0" applyNumberFormat="1" applyFont="1" applyFill="1" applyBorder="1" applyAlignment="1">
      <alignment/>
    </xf>
    <xf numFmtId="0" fontId="22" fillId="3" borderId="10" xfId="0" applyFont="1" applyFill="1" applyBorder="1" applyAlignment="1">
      <alignment/>
    </xf>
    <xf numFmtId="0" fontId="134" fillId="0" borderId="14" xfId="0" applyFont="1" applyBorder="1" applyAlignment="1">
      <alignment horizontal="center" vertical="center" wrapText="1"/>
    </xf>
    <xf numFmtId="0" fontId="126" fillId="0" borderId="0" xfId="0" applyFont="1" applyAlignment="1">
      <alignment/>
    </xf>
    <xf numFmtId="0" fontId="23" fillId="49" borderId="16" xfId="0" applyFont="1" applyFill="1" applyBorder="1" applyAlignment="1">
      <alignment horizontal="right" vertical="center" wrapText="1"/>
    </xf>
    <xf numFmtId="4" fontId="126" fillId="44" borderId="10" xfId="0" applyNumberFormat="1" applyFont="1" applyFill="1" applyBorder="1" applyAlignment="1">
      <alignment/>
    </xf>
    <xf numFmtId="4" fontId="126" fillId="50" borderId="10" xfId="0" applyNumberFormat="1" applyFont="1" applyFill="1" applyBorder="1" applyAlignment="1">
      <alignment/>
    </xf>
    <xf numFmtId="0" fontId="23" fillId="33" borderId="10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vertical="center" wrapText="1"/>
    </xf>
    <xf numFmtId="4" fontId="126" fillId="33" borderId="10" xfId="0" applyNumberFormat="1" applyFont="1" applyFill="1" applyBorder="1" applyAlignment="1">
      <alignment/>
    </xf>
    <xf numFmtId="0" fontId="126" fillId="62" borderId="10" xfId="0" applyFont="1" applyFill="1" applyBorder="1" applyAlignment="1">
      <alignment/>
    </xf>
    <xf numFmtId="4" fontId="126" fillId="62" borderId="10" xfId="0" applyNumberFormat="1" applyFont="1" applyFill="1" applyBorder="1" applyAlignment="1">
      <alignment/>
    </xf>
    <xf numFmtId="4" fontId="126" fillId="0" borderId="10" xfId="0" applyNumberFormat="1" applyFont="1" applyBorder="1" applyAlignment="1">
      <alignment/>
    </xf>
    <xf numFmtId="0" fontId="135" fillId="62" borderId="10" xfId="0" applyFont="1" applyFill="1" applyBorder="1" applyAlignment="1">
      <alignment/>
    </xf>
    <xf numFmtId="0" fontId="23" fillId="42" borderId="16" xfId="0" applyFont="1" applyFill="1" applyBorder="1" applyAlignment="1">
      <alignment horizontal="right" vertical="center" wrapText="1"/>
    </xf>
    <xf numFmtId="4" fontId="126" fillId="42" borderId="10" xfId="0" applyNumberFormat="1" applyFont="1" applyFill="1" applyBorder="1" applyAlignment="1">
      <alignment horizontal="right"/>
    </xf>
    <xf numFmtId="4" fontId="126" fillId="63" borderId="10" xfId="0" applyNumberFormat="1" applyFont="1" applyFill="1" applyBorder="1" applyAlignment="1">
      <alignment/>
    </xf>
    <xf numFmtId="0" fontId="22" fillId="0" borderId="14" xfId="0" applyFont="1" applyBorder="1" applyAlignment="1">
      <alignment horizontal="left"/>
    </xf>
    <xf numFmtId="4" fontId="126" fillId="42" borderId="14" xfId="0" applyNumberFormat="1" applyFont="1" applyFill="1" applyBorder="1" applyAlignment="1">
      <alignment/>
    </xf>
    <xf numFmtId="4" fontId="22" fillId="62" borderId="10" xfId="0" applyNumberFormat="1" applyFont="1" applyFill="1" applyBorder="1" applyAlignment="1">
      <alignment/>
    </xf>
    <xf numFmtId="0" fontId="22" fillId="62" borderId="10" xfId="0" applyFont="1" applyFill="1" applyBorder="1" applyAlignment="1">
      <alignment/>
    </xf>
    <xf numFmtId="0" fontId="125" fillId="34" borderId="10" xfId="0" applyFont="1" applyFill="1" applyBorder="1" applyAlignment="1">
      <alignment horizontal="center" vertical="center" wrapText="1"/>
    </xf>
    <xf numFmtId="0" fontId="22" fillId="6" borderId="55" xfId="0" applyFont="1" applyFill="1" applyBorder="1" applyAlignment="1">
      <alignment horizontal="center" vertical="center" wrapText="1"/>
    </xf>
    <xf numFmtId="0" fontId="22" fillId="64" borderId="16" xfId="0" applyFont="1" applyFill="1" applyBorder="1" applyAlignment="1">
      <alignment horizontal="center" vertical="center" wrapText="1"/>
    </xf>
    <xf numFmtId="0" fontId="126" fillId="41" borderId="24" xfId="0" applyFont="1" applyFill="1" applyBorder="1" applyAlignment="1">
      <alignment horizontal="center"/>
    </xf>
    <xf numFmtId="0" fontId="126" fillId="41" borderId="24" xfId="0" applyFont="1" applyFill="1" applyBorder="1" applyAlignment="1">
      <alignment/>
    </xf>
    <xf numFmtId="0" fontId="22" fillId="0" borderId="35" xfId="0" applyFont="1" applyBorder="1" applyAlignment="1">
      <alignment horizontal="center" vertical="center" wrapText="1"/>
    </xf>
    <xf numFmtId="0" fontId="22" fillId="42" borderId="19" xfId="0" applyFont="1" applyFill="1" applyBorder="1" applyAlignment="1">
      <alignment horizontal="center" vertical="center" wrapText="1"/>
    </xf>
    <xf numFmtId="0" fontId="22" fillId="6" borderId="18" xfId="0" applyFont="1" applyFill="1" applyBorder="1" applyAlignment="1">
      <alignment vertical="center" wrapText="1"/>
    </xf>
    <xf numFmtId="0" fontId="22" fillId="6" borderId="19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2" fillId="64" borderId="26" xfId="0" applyFont="1" applyFill="1" applyBorder="1" applyAlignment="1">
      <alignment vertical="center" wrapText="1"/>
    </xf>
    <xf numFmtId="0" fontId="22" fillId="64" borderId="27" xfId="0" applyFont="1" applyFill="1" applyBorder="1" applyAlignment="1">
      <alignment horizontal="center" vertical="center" wrapText="1"/>
    </xf>
    <xf numFmtId="0" fontId="22" fillId="44" borderId="27" xfId="0" applyFont="1" applyFill="1" applyBorder="1" applyAlignment="1">
      <alignment vertical="center" wrapText="1"/>
    </xf>
    <xf numFmtId="0" fontId="22" fillId="44" borderId="27" xfId="0" applyFont="1" applyFill="1" applyBorder="1" applyAlignment="1">
      <alignment horizontal="center" vertical="center" wrapText="1"/>
    </xf>
    <xf numFmtId="0" fontId="22" fillId="44" borderId="28" xfId="0" applyFont="1" applyFill="1" applyBorder="1" applyAlignment="1">
      <alignment horizontal="center" vertical="center" wrapText="1"/>
    </xf>
    <xf numFmtId="0" fontId="22" fillId="41" borderId="57" xfId="0" applyFont="1" applyFill="1" applyBorder="1" applyAlignment="1">
      <alignment horizontal="center" vertical="center" wrapText="1"/>
    </xf>
    <xf numFmtId="0" fontId="125" fillId="41" borderId="57" xfId="0" applyFont="1" applyFill="1" applyBorder="1" applyAlignment="1">
      <alignment horizontal="center" vertical="center" wrapText="1"/>
    </xf>
    <xf numFmtId="0" fontId="125" fillId="41" borderId="56" xfId="0" applyFont="1" applyFill="1" applyBorder="1" applyAlignment="1">
      <alignment vertical="center" wrapText="1"/>
    </xf>
    <xf numFmtId="0" fontId="125" fillId="41" borderId="57" xfId="0" applyFont="1" applyFill="1" applyBorder="1" applyAlignment="1">
      <alignment wrapText="1"/>
    </xf>
    <xf numFmtId="0" fontId="22" fillId="33" borderId="10" xfId="0" applyFont="1" applyFill="1" applyBorder="1" applyAlignment="1">
      <alignment horizontal="right" vertical="center" wrapText="1"/>
    </xf>
    <xf numFmtId="4" fontId="126" fillId="33" borderId="25" xfId="0" applyNumberFormat="1" applyFont="1" applyFill="1" applyBorder="1" applyAlignment="1">
      <alignment/>
    </xf>
    <xf numFmtId="0" fontId="23" fillId="41" borderId="10" xfId="0" applyFont="1" applyFill="1" applyBorder="1" applyAlignment="1">
      <alignment horizontal="center" vertical="center" wrapText="1"/>
    </xf>
    <xf numFmtId="4" fontId="126" fillId="41" borderId="10" xfId="0" applyNumberFormat="1" applyFont="1" applyFill="1" applyBorder="1" applyAlignment="1">
      <alignment/>
    </xf>
    <xf numFmtId="4" fontId="126" fillId="41" borderId="25" xfId="0" applyNumberFormat="1" applyFont="1" applyFill="1" applyBorder="1" applyAlignment="1">
      <alignment/>
    </xf>
    <xf numFmtId="4" fontId="126" fillId="41" borderId="43" xfId="0" applyNumberFormat="1" applyFont="1" applyFill="1" applyBorder="1" applyAlignment="1">
      <alignment/>
    </xf>
    <xf numFmtId="4" fontId="126" fillId="49" borderId="14" xfId="0" applyNumberFormat="1" applyFont="1" applyFill="1" applyBorder="1" applyAlignment="1">
      <alignment/>
    </xf>
    <xf numFmtId="4" fontId="126" fillId="37" borderId="14" xfId="0" applyNumberFormat="1" applyFont="1" applyFill="1" applyBorder="1" applyAlignment="1">
      <alignment/>
    </xf>
    <xf numFmtId="4" fontId="126" fillId="33" borderId="14" xfId="0" applyNumberFormat="1" applyFont="1" applyFill="1" applyBorder="1" applyAlignment="1">
      <alignment/>
    </xf>
    <xf numFmtId="4" fontId="126" fillId="41" borderId="14" xfId="0" applyNumberFormat="1" applyFont="1" applyFill="1" applyBorder="1" applyAlignment="1">
      <alignment/>
    </xf>
    <xf numFmtId="4" fontId="126" fillId="41" borderId="36" xfId="0" applyNumberFormat="1" applyFont="1" applyFill="1" applyBorder="1" applyAlignment="1">
      <alignment/>
    </xf>
    <xf numFmtId="4" fontId="126" fillId="41" borderId="44" xfId="0" applyNumberFormat="1" applyFont="1" applyFill="1" applyBorder="1" applyAlignment="1">
      <alignment/>
    </xf>
    <xf numFmtId="0" fontId="23" fillId="62" borderId="10" xfId="0" applyFont="1" applyFill="1" applyBorder="1" applyAlignment="1">
      <alignment/>
    </xf>
    <xf numFmtId="4" fontId="106" fillId="33" borderId="10" xfId="0" applyNumberFormat="1" applyFont="1" applyFill="1" applyBorder="1" applyAlignment="1">
      <alignment/>
    </xf>
    <xf numFmtId="4" fontId="106" fillId="4" borderId="10" xfId="0" applyNumberFormat="1" applyFont="1" applyFill="1" applyBorder="1" applyAlignment="1">
      <alignment/>
    </xf>
    <xf numFmtId="4" fontId="28" fillId="54" borderId="58" xfId="0" applyNumberFormat="1" applyFont="1" applyFill="1" applyBorder="1" applyAlignment="1">
      <alignment/>
    </xf>
    <xf numFmtId="4" fontId="115" fillId="48" borderId="10" xfId="0" applyNumberFormat="1" applyFont="1" applyFill="1" applyBorder="1" applyAlignment="1">
      <alignment/>
    </xf>
    <xf numFmtId="0" fontId="129" fillId="0" borderId="59" xfId="0" applyFont="1" applyBorder="1" applyAlignment="1">
      <alignment horizontal="center" vertical="center" wrapText="1"/>
    </xf>
    <xf numFmtId="0" fontId="136" fillId="0" borderId="60" xfId="0" applyFont="1" applyBorder="1" applyAlignment="1">
      <alignment horizontal="center" vertical="center" wrapText="1"/>
    </xf>
    <xf numFmtId="0" fontId="137" fillId="59" borderId="10" xfId="0" applyFont="1" applyFill="1" applyBorder="1" applyAlignment="1">
      <alignment horizontal="center"/>
    </xf>
    <xf numFmtId="0" fontId="126" fillId="41" borderId="48" xfId="0" applyFont="1" applyFill="1" applyBorder="1" applyAlignment="1">
      <alignment horizontal="center" wrapText="1"/>
    </xf>
    <xf numFmtId="0" fontId="126" fillId="41" borderId="24" xfId="0" applyFont="1" applyFill="1" applyBorder="1" applyAlignment="1">
      <alignment horizontal="center" wrapText="1"/>
    </xf>
    <xf numFmtId="0" fontId="22" fillId="59" borderId="10" xfId="0" applyFont="1" applyFill="1" applyBorder="1" applyAlignment="1">
      <alignment horizontal="center"/>
    </xf>
    <xf numFmtId="0" fontId="138" fillId="59" borderId="10" xfId="0" applyFont="1" applyFill="1" applyBorder="1" applyAlignment="1">
      <alignment/>
    </xf>
    <xf numFmtId="4" fontId="126" fillId="59" borderId="10" xfId="0" applyNumberFormat="1" applyFont="1" applyFill="1" applyBorder="1" applyAlignment="1">
      <alignment horizontal="center"/>
    </xf>
    <xf numFmtId="4" fontId="126" fillId="59" borderId="10" xfId="0" applyNumberFormat="1" applyFont="1" applyFill="1" applyBorder="1" applyAlignment="1">
      <alignment/>
    </xf>
    <xf numFmtId="4" fontId="117" fillId="57" borderId="10" xfId="0" applyNumberFormat="1" applyFont="1" applyFill="1" applyBorder="1" applyAlignment="1">
      <alignment/>
    </xf>
    <xf numFmtId="4" fontId="20" fillId="57" borderId="10" xfId="0" applyNumberFormat="1" applyFont="1" applyFill="1" applyBorder="1" applyAlignment="1">
      <alignment horizontal="center" wrapText="1"/>
    </xf>
    <xf numFmtId="4" fontId="24" fillId="57" borderId="10" xfId="0" applyNumberFormat="1" applyFont="1" applyFill="1" applyBorder="1" applyAlignment="1">
      <alignment horizontal="center" vertical="center"/>
    </xf>
    <xf numFmtId="4" fontId="22" fillId="62" borderId="14" xfId="0" applyNumberFormat="1" applyFont="1" applyFill="1" applyBorder="1" applyAlignment="1">
      <alignment/>
    </xf>
    <xf numFmtId="4" fontId="113" fillId="33" borderId="10" xfId="0" applyNumberFormat="1" applyFont="1" applyFill="1" applyBorder="1" applyAlignment="1">
      <alignment/>
    </xf>
    <xf numFmtId="4" fontId="113" fillId="33" borderId="13" xfId="0" applyNumberFormat="1" applyFont="1" applyFill="1" applyBorder="1" applyAlignment="1">
      <alignment/>
    </xf>
    <xf numFmtId="0" fontId="117" fillId="41" borderId="34" xfId="0" applyFont="1" applyFill="1" applyBorder="1" applyAlignment="1">
      <alignment horizontal="center" vertical="center" wrapText="1"/>
    </xf>
    <xf numFmtId="4" fontId="22" fillId="59" borderId="10" xfId="0" applyNumberFormat="1" applyFont="1" applyFill="1" applyBorder="1" applyAlignment="1">
      <alignment horizontal="center" vertical="center"/>
    </xf>
    <xf numFmtId="4" fontId="22" fillId="62" borderId="10" xfId="0" applyNumberFormat="1" applyFont="1" applyFill="1" applyBorder="1" applyAlignment="1">
      <alignment horizontal="center" vertical="center"/>
    </xf>
    <xf numFmtId="2" fontId="22" fillId="59" borderId="10" xfId="0" applyNumberFormat="1" applyFont="1" applyFill="1" applyBorder="1" applyAlignment="1">
      <alignment horizontal="center" vertical="center"/>
    </xf>
    <xf numFmtId="0" fontId="22" fillId="59" borderId="10" xfId="0" applyFont="1" applyFill="1" applyBorder="1" applyAlignment="1">
      <alignment horizontal="center" vertical="center"/>
    </xf>
    <xf numFmtId="4" fontId="40" fillId="44" borderId="10" xfId="0" applyNumberFormat="1" applyFont="1" applyFill="1" applyBorder="1" applyAlignment="1">
      <alignment horizontal="center"/>
    </xf>
    <xf numFmtId="4" fontId="40" fillId="44" borderId="14" xfId="0" applyNumberFormat="1" applyFont="1" applyFill="1" applyBorder="1" applyAlignment="1">
      <alignment horizontal="center"/>
    </xf>
    <xf numFmtId="0" fontId="0" fillId="19" borderId="0" xfId="0" applyFill="1" applyAlignment="1">
      <alignment horizontal="center" vertical="center" wrapText="1"/>
    </xf>
    <xf numFmtId="4" fontId="123" fillId="19" borderId="10" xfId="0" applyNumberFormat="1" applyFont="1" applyFill="1" applyBorder="1" applyAlignment="1">
      <alignment horizontal="center" vertical="center"/>
    </xf>
    <xf numFmtId="4" fontId="123" fillId="60" borderId="10" xfId="0" applyNumberFormat="1" applyFont="1" applyFill="1" applyBorder="1" applyAlignment="1">
      <alignment horizontal="center" vertical="center"/>
    </xf>
    <xf numFmtId="0" fontId="135" fillId="62" borderId="10" xfId="0" applyFont="1" applyFill="1" applyBorder="1" applyAlignment="1">
      <alignment horizontal="center"/>
    </xf>
    <xf numFmtId="4" fontId="126" fillId="19" borderId="10" xfId="0" applyNumberFormat="1" applyFont="1" applyFill="1" applyBorder="1" applyAlignment="1">
      <alignment horizontal="center" vertical="center"/>
    </xf>
    <xf numFmtId="4" fontId="126" fillId="60" borderId="10" xfId="0" applyNumberFormat="1" applyFont="1" applyFill="1" applyBorder="1" applyAlignment="1">
      <alignment/>
    </xf>
    <xf numFmtId="2" fontId="14" fillId="38" borderId="16" xfId="0" applyNumberFormat="1" applyFont="1" applyFill="1" applyBorder="1" applyAlignment="1">
      <alignment horizontal="right" vertical="center" wrapText="1"/>
    </xf>
    <xf numFmtId="4" fontId="40" fillId="38" borderId="16" xfId="0" applyNumberFormat="1" applyFont="1" applyFill="1" applyBorder="1" applyAlignment="1">
      <alignment horizontal="right"/>
    </xf>
    <xf numFmtId="4" fontId="40" fillId="38" borderId="16" xfId="0" applyNumberFormat="1" applyFont="1" applyFill="1" applyBorder="1" applyAlignment="1">
      <alignment/>
    </xf>
    <xf numFmtId="4" fontId="40" fillId="6" borderId="16" xfId="0" applyNumberFormat="1" applyFont="1" applyFill="1" applyBorder="1" applyAlignment="1">
      <alignment/>
    </xf>
    <xf numFmtId="4" fontId="23" fillId="39" borderId="10" xfId="0" applyNumberFormat="1" applyFont="1" applyFill="1" applyBorder="1" applyAlignment="1">
      <alignment horizontal="center" vertical="center"/>
    </xf>
    <xf numFmtId="4" fontId="23" fillId="44" borderId="10" xfId="0" applyNumberFormat="1" applyFont="1" applyFill="1" applyBorder="1" applyAlignment="1">
      <alignment horizontal="center"/>
    </xf>
    <xf numFmtId="4" fontId="40" fillId="44" borderId="10" xfId="0" applyNumberFormat="1" applyFont="1" applyFill="1" applyBorder="1" applyAlignment="1">
      <alignment/>
    </xf>
    <xf numFmtId="0" fontId="14" fillId="38" borderId="16" xfId="0" applyFont="1" applyFill="1" applyBorder="1" applyAlignment="1">
      <alignment horizontal="right" vertical="center" wrapText="1"/>
    </xf>
    <xf numFmtId="4" fontId="40" fillId="38" borderId="10" xfId="0" applyNumberFormat="1" applyFont="1" applyFill="1" applyBorder="1" applyAlignment="1">
      <alignment horizontal="right"/>
    </xf>
    <xf numFmtId="4" fontId="40" fillId="38" borderId="10" xfId="0" applyNumberFormat="1" applyFont="1" applyFill="1" applyBorder="1" applyAlignment="1">
      <alignment/>
    </xf>
    <xf numFmtId="4" fontId="40" fillId="6" borderId="10" xfId="0" applyNumberFormat="1" applyFont="1" applyFill="1" applyBorder="1" applyAlignment="1">
      <alignment/>
    </xf>
    <xf numFmtId="4" fontId="40" fillId="58" borderId="10" xfId="0" applyNumberFormat="1" applyFont="1" applyFill="1" applyBorder="1" applyAlignment="1">
      <alignment/>
    </xf>
    <xf numFmtId="4" fontId="40" fillId="38" borderId="14" xfId="0" applyNumberFormat="1" applyFont="1" applyFill="1" applyBorder="1" applyAlignment="1">
      <alignment/>
    </xf>
    <xf numFmtId="4" fontId="40" fillId="6" borderId="14" xfId="0" applyNumberFormat="1" applyFont="1" applyFill="1" applyBorder="1" applyAlignment="1">
      <alignment/>
    </xf>
    <xf numFmtId="4" fontId="40" fillId="58" borderId="14" xfId="0" applyNumberFormat="1" applyFont="1" applyFill="1" applyBorder="1" applyAlignment="1">
      <alignment/>
    </xf>
    <xf numFmtId="4" fontId="40" fillId="44" borderId="14" xfId="0" applyNumberFormat="1" applyFont="1" applyFill="1" applyBorder="1" applyAlignment="1">
      <alignment/>
    </xf>
    <xf numFmtId="4" fontId="14" fillId="58" borderId="10" xfId="0" applyNumberFormat="1" applyFont="1" applyFill="1" applyBorder="1" applyAlignment="1">
      <alignment/>
    </xf>
    <xf numFmtId="4" fontId="35" fillId="58" borderId="10" xfId="0" applyNumberFormat="1" applyFont="1" applyFill="1" applyBorder="1" applyAlignment="1">
      <alignment/>
    </xf>
    <xf numFmtId="0" fontId="40" fillId="58" borderId="10" xfId="0" applyFont="1" applyFill="1" applyBorder="1" applyAlignment="1">
      <alignment/>
    </xf>
    <xf numFmtId="0" fontId="40" fillId="58" borderId="25" xfId="0" applyFont="1" applyFill="1" applyBorder="1" applyAlignment="1">
      <alignment/>
    </xf>
    <xf numFmtId="0" fontId="40" fillId="58" borderId="10" xfId="0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 wrapText="1"/>
    </xf>
    <xf numFmtId="4" fontId="126" fillId="47" borderId="14" xfId="0" applyNumberFormat="1" applyFont="1" applyFill="1" applyBorder="1" applyAlignment="1">
      <alignment/>
    </xf>
    <xf numFmtId="4" fontId="23" fillId="47" borderId="10" xfId="0" applyNumberFormat="1" applyFont="1" applyFill="1" applyBorder="1" applyAlignment="1">
      <alignment/>
    </xf>
    <xf numFmtId="4" fontId="126" fillId="7" borderId="16" xfId="0" applyNumberFormat="1" applyFont="1" applyFill="1" applyBorder="1" applyAlignment="1">
      <alignment/>
    </xf>
    <xf numFmtId="0" fontId="23" fillId="46" borderId="16" xfId="0" applyFont="1" applyFill="1" applyBorder="1" applyAlignment="1">
      <alignment horizontal="right" vertical="center" wrapText="1"/>
    </xf>
    <xf numFmtId="0" fontId="23" fillId="46" borderId="10" xfId="0" applyFont="1" applyFill="1" applyBorder="1" applyAlignment="1">
      <alignment horizontal="right" vertical="center" wrapText="1"/>
    </xf>
    <xf numFmtId="4" fontId="126" fillId="46" borderId="10" xfId="0" applyNumberFormat="1" applyFont="1" applyFill="1" applyBorder="1" applyAlignment="1">
      <alignment/>
    </xf>
    <xf numFmtId="4" fontId="126" fillId="46" borderId="14" xfId="0" applyNumberFormat="1" applyFont="1" applyFill="1" applyBorder="1" applyAlignment="1">
      <alignment/>
    </xf>
    <xf numFmtId="4" fontId="126" fillId="46" borderId="16" xfId="0" applyNumberFormat="1" applyFont="1" applyFill="1" applyBorder="1" applyAlignment="1">
      <alignment/>
    </xf>
    <xf numFmtId="4" fontId="126" fillId="41" borderId="16" xfId="0" applyNumberFormat="1" applyFont="1" applyFill="1" applyBorder="1" applyAlignment="1">
      <alignment/>
    </xf>
    <xf numFmtId="4" fontId="139" fillId="53" borderId="0" xfId="0" applyNumberFormat="1" applyFont="1" applyFill="1" applyBorder="1" applyAlignment="1">
      <alignment/>
    </xf>
    <xf numFmtId="4" fontId="74" fillId="53" borderId="0" xfId="0" applyNumberFormat="1" applyFont="1" applyFill="1" applyBorder="1" applyAlignment="1">
      <alignment/>
    </xf>
    <xf numFmtId="0" fontId="0" fillId="53" borderId="0" xfId="0" applyFill="1" applyBorder="1" applyAlignment="1">
      <alignment/>
    </xf>
    <xf numFmtId="0" fontId="36" fillId="43" borderId="61" xfId="0" applyFont="1" applyFill="1" applyBorder="1" applyAlignment="1">
      <alignment horizontal="left"/>
    </xf>
    <xf numFmtId="2" fontId="140" fillId="0" borderId="22" xfId="0" applyNumberFormat="1" applyFont="1" applyBorder="1" applyAlignment="1">
      <alignment/>
    </xf>
    <xf numFmtId="2" fontId="141" fillId="0" borderId="10" xfId="0" applyNumberFormat="1" applyFont="1" applyBorder="1" applyAlignment="1">
      <alignment/>
    </xf>
    <xf numFmtId="0" fontId="142" fillId="0" borderId="0" xfId="0" applyFont="1" applyBorder="1" applyAlignment="1">
      <alignment/>
    </xf>
    <xf numFmtId="2" fontId="137" fillId="0" borderId="0" xfId="0" applyNumberFormat="1" applyFont="1" applyBorder="1" applyAlignment="1">
      <alignment/>
    </xf>
    <xf numFmtId="0" fontId="36" fillId="43" borderId="40" xfId="0" applyFont="1" applyFill="1" applyBorder="1" applyAlignment="1">
      <alignment horizontal="left"/>
    </xf>
    <xf numFmtId="0" fontId="36" fillId="44" borderId="40" xfId="0" applyFont="1" applyFill="1" applyBorder="1" applyAlignment="1">
      <alignment horizontal="left"/>
    </xf>
    <xf numFmtId="0" fontId="36" fillId="6" borderId="40" xfId="0" applyFont="1" applyFill="1" applyBorder="1" applyAlignment="1">
      <alignment horizontal="left"/>
    </xf>
    <xf numFmtId="0" fontId="36" fillId="7" borderId="40" xfId="0" applyFont="1" applyFill="1" applyBorder="1" applyAlignment="1">
      <alignment horizontal="left"/>
    </xf>
    <xf numFmtId="0" fontId="36" fillId="9" borderId="40" xfId="0" applyFont="1" applyFill="1" applyBorder="1" applyAlignment="1">
      <alignment horizontal="left"/>
    </xf>
    <xf numFmtId="0" fontId="143" fillId="0" borderId="48" xfId="0" applyFont="1" applyBorder="1" applyAlignment="1">
      <alignment/>
    </xf>
    <xf numFmtId="0" fontId="143" fillId="0" borderId="19" xfId="0" applyFont="1" applyBorder="1" applyAlignment="1">
      <alignment/>
    </xf>
    <xf numFmtId="2" fontId="143" fillId="0" borderId="28" xfId="0" applyNumberFormat="1" applyFont="1" applyBorder="1" applyAlignment="1">
      <alignment/>
    </xf>
    <xf numFmtId="0" fontId="143" fillId="0" borderId="10" xfId="0" applyFont="1" applyBorder="1" applyAlignment="1">
      <alignment/>
    </xf>
    <xf numFmtId="2" fontId="143" fillId="0" borderId="0" xfId="0" applyNumberFormat="1" applyFont="1" applyBorder="1" applyAlignment="1">
      <alignment/>
    </xf>
    <xf numFmtId="2" fontId="126" fillId="0" borderId="0" xfId="0" applyNumberFormat="1" applyFont="1" applyBorder="1" applyAlignment="1">
      <alignment/>
    </xf>
    <xf numFmtId="0" fontId="127" fillId="0" borderId="0" xfId="0" applyFont="1" applyAlignment="1">
      <alignment/>
    </xf>
    <xf numFmtId="0" fontId="127" fillId="0" borderId="0" xfId="0" applyFont="1" applyBorder="1" applyAlignment="1">
      <alignment/>
    </xf>
    <xf numFmtId="4" fontId="142" fillId="53" borderId="16" xfId="0" applyNumberFormat="1" applyFont="1" applyFill="1" applyBorder="1" applyAlignment="1">
      <alignment/>
    </xf>
    <xf numFmtId="4" fontId="140" fillId="14" borderId="16" xfId="0" applyNumberFormat="1" applyFont="1" applyFill="1" applyBorder="1" applyAlignment="1">
      <alignment/>
    </xf>
    <xf numFmtId="0" fontId="99" fillId="53" borderId="0" xfId="0" applyFont="1" applyFill="1" applyBorder="1" applyAlignment="1">
      <alignment/>
    </xf>
    <xf numFmtId="0" fontId="0" fillId="19" borderId="10" xfId="0" applyFill="1" applyBorder="1" applyAlignment="1">
      <alignment horizontal="center" vertical="center"/>
    </xf>
    <xf numFmtId="0" fontId="36" fillId="3" borderId="48" xfId="0" applyFont="1" applyFill="1" applyBorder="1" applyAlignment="1">
      <alignment/>
    </xf>
    <xf numFmtId="0" fontId="36" fillId="9" borderId="10" xfId="0" applyFont="1" applyFill="1" applyBorder="1" applyAlignment="1">
      <alignment horizontal="left"/>
    </xf>
    <xf numFmtId="4" fontId="142" fillId="0" borderId="10" xfId="0" applyNumberFormat="1" applyFont="1" applyBorder="1" applyAlignment="1">
      <alignment/>
    </xf>
    <xf numFmtId="0" fontId="0" fillId="55" borderId="10" xfId="0" applyFill="1" applyBorder="1" applyAlignment="1">
      <alignment/>
    </xf>
    <xf numFmtId="0" fontId="22" fillId="55" borderId="30" xfId="0" applyFont="1" applyFill="1" applyBorder="1" applyAlignment="1">
      <alignment horizontal="center" vertical="center" wrapText="1"/>
    </xf>
    <xf numFmtId="0" fontId="126" fillId="55" borderId="10" xfId="0" applyFont="1" applyFill="1" applyBorder="1" applyAlignment="1">
      <alignment/>
    </xf>
    <xf numFmtId="0" fontId="115" fillId="55" borderId="10" xfId="0" applyFont="1" applyFill="1" applyBorder="1" applyAlignment="1">
      <alignment/>
    </xf>
    <xf numFmtId="0" fontId="127" fillId="55" borderId="10" xfId="0" applyFont="1" applyFill="1" applyBorder="1" applyAlignment="1">
      <alignment vertical="center"/>
    </xf>
    <xf numFmtId="0" fontId="0" fillId="55" borderId="10" xfId="0" applyFill="1" applyBorder="1" applyAlignment="1">
      <alignment horizontal="center" vertical="center"/>
    </xf>
    <xf numFmtId="0" fontId="115" fillId="55" borderId="10" xfId="0" applyFont="1" applyFill="1" applyBorder="1" applyAlignment="1">
      <alignment/>
    </xf>
    <xf numFmtId="0" fontId="126" fillId="55" borderId="10" xfId="0" applyFont="1" applyFill="1" applyBorder="1" applyAlignment="1">
      <alignment horizontal="center"/>
    </xf>
    <xf numFmtId="4" fontId="115" fillId="55" borderId="10" xfId="0" applyNumberFormat="1" applyFont="1" applyFill="1" applyBorder="1" applyAlignment="1">
      <alignment/>
    </xf>
    <xf numFmtId="0" fontId="115" fillId="41" borderId="10" xfId="0" applyFont="1" applyFill="1" applyBorder="1" applyAlignment="1">
      <alignment horizontal="center" vertical="center"/>
    </xf>
    <xf numFmtId="0" fontId="0" fillId="65" borderId="10" xfId="0" applyFill="1" applyBorder="1" applyAlignment="1">
      <alignment vertical="center"/>
    </xf>
    <xf numFmtId="0" fontId="0" fillId="41" borderId="11" xfId="0" applyFill="1" applyBorder="1" applyAlignment="1">
      <alignment horizontal="center" vertical="center"/>
    </xf>
    <xf numFmtId="0" fontId="40" fillId="41" borderId="10" xfId="0" applyFont="1" applyFill="1" applyBorder="1" applyAlignment="1">
      <alignment horizontal="center" vertical="center" wrapText="1"/>
    </xf>
    <xf numFmtId="0" fontId="115" fillId="41" borderId="10" xfId="0" applyFont="1" applyFill="1" applyBorder="1" applyAlignment="1">
      <alignment wrapText="1"/>
    </xf>
    <xf numFmtId="0" fontId="11" fillId="41" borderId="25" xfId="0" applyFont="1" applyFill="1" applyBorder="1" applyAlignment="1">
      <alignment horizontal="center" vertical="center" wrapText="1"/>
    </xf>
    <xf numFmtId="0" fontId="40" fillId="41" borderId="14" xfId="0" applyFont="1" applyFill="1" applyBorder="1" applyAlignment="1">
      <alignment horizontal="center" vertical="center" wrapText="1"/>
    </xf>
    <xf numFmtId="0" fontId="115" fillId="41" borderId="14" xfId="0" applyFont="1" applyFill="1" applyBorder="1" applyAlignment="1">
      <alignment wrapText="1"/>
    </xf>
    <xf numFmtId="0" fontId="106" fillId="55" borderId="10" xfId="0" applyFont="1" applyFill="1" applyBorder="1" applyAlignment="1">
      <alignment horizontal="center" vertical="center"/>
    </xf>
    <xf numFmtId="2" fontId="140" fillId="0" borderId="62" xfId="0" applyNumberFormat="1" applyFont="1" applyBorder="1" applyAlignment="1">
      <alignment/>
    </xf>
    <xf numFmtId="0" fontId="143" fillId="0" borderId="16" xfId="0" applyFont="1" applyBorder="1" applyAlignment="1">
      <alignment/>
    </xf>
    <xf numFmtId="2" fontId="143" fillId="0" borderId="16" xfId="0" applyNumberFormat="1" applyFont="1" applyBorder="1" applyAlignment="1">
      <alignment/>
    </xf>
    <xf numFmtId="0" fontId="143" fillId="0" borderId="0" xfId="0" applyFont="1" applyBorder="1" applyAlignment="1">
      <alignment/>
    </xf>
    <xf numFmtId="4" fontId="144" fillId="60" borderId="10" xfId="0" applyNumberFormat="1" applyFont="1" applyFill="1" applyBorder="1" applyAlignment="1">
      <alignment/>
    </xf>
    <xf numFmtId="4" fontId="144" fillId="41" borderId="10" xfId="0" applyNumberFormat="1" applyFont="1" applyFill="1" applyBorder="1" applyAlignment="1">
      <alignment/>
    </xf>
    <xf numFmtId="4" fontId="129" fillId="58" borderId="10" xfId="0" applyNumberFormat="1" applyFont="1" applyFill="1" applyBorder="1" applyAlignment="1">
      <alignment/>
    </xf>
    <xf numFmtId="0" fontId="145" fillId="6" borderId="16" xfId="0" applyFont="1" applyFill="1" applyBorder="1" applyAlignment="1">
      <alignment horizontal="right" vertical="center" wrapText="1"/>
    </xf>
    <xf numFmtId="4" fontId="122" fillId="6" borderId="10" xfId="0" applyNumberFormat="1" applyFont="1" applyFill="1" applyBorder="1" applyAlignment="1">
      <alignment/>
    </xf>
    <xf numFmtId="4" fontId="122" fillId="6" borderId="14" xfId="0" applyNumberFormat="1" applyFont="1" applyFill="1" applyBorder="1" applyAlignment="1">
      <alignment/>
    </xf>
    <xf numFmtId="0" fontId="122" fillId="58" borderId="10" xfId="0" applyFont="1" applyFill="1" applyBorder="1" applyAlignment="1">
      <alignment/>
    </xf>
    <xf numFmtId="0" fontId="126" fillId="41" borderId="10" xfId="0" applyFont="1" applyFill="1" applyBorder="1" applyAlignment="1">
      <alignment/>
    </xf>
    <xf numFmtId="0" fontId="122" fillId="41" borderId="10" xfId="0" applyFont="1" applyFill="1" applyBorder="1" applyAlignment="1">
      <alignment/>
    </xf>
    <xf numFmtId="0" fontId="146" fillId="41" borderId="10" xfId="0" applyFont="1" applyFill="1" applyBorder="1" applyAlignment="1">
      <alignment/>
    </xf>
    <xf numFmtId="4" fontId="113" fillId="41" borderId="10" xfId="0" applyNumberFormat="1" applyFont="1" applyFill="1" applyBorder="1" applyAlignment="1">
      <alignment/>
    </xf>
    <xf numFmtId="4" fontId="147" fillId="41" borderId="49" xfId="0" applyNumberFormat="1" applyFont="1" applyFill="1" applyBorder="1" applyAlignment="1">
      <alignment/>
    </xf>
    <xf numFmtId="4" fontId="147" fillId="41" borderId="16" xfId="0" applyNumberFormat="1" applyFont="1" applyFill="1" applyBorder="1" applyAlignment="1">
      <alignment/>
    </xf>
    <xf numFmtId="4" fontId="147" fillId="41" borderId="37" xfId="0" applyNumberFormat="1" applyFont="1" applyFill="1" applyBorder="1" applyAlignment="1">
      <alignment/>
    </xf>
    <xf numFmtId="4" fontId="147" fillId="41" borderId="10" xfId="0" applyNumberFormat="1" applyFont="1" applyFill="1" applyBorder="1" applyAlignment="1">
      <alignment/>
    </xf>
    <xf numFmtId="4" fontId="123" fillId="14" borderId="10" xfId="0" applyNumberFormat="1" applyFont="1" applyFill="1" applyBorder="1" applyAlignment="1">
      <alignment horizontal="center" vertical="center"/>
    </xf>
    <xf numFmtId="4" fontId="148" fillId="14" borderId="10" xfId="0" applyNumberFormat="1" applyFont="1" applyFill="1" applyBorder="1" applyAlignment="1">
      <alignment horizontal="center" vertical="center"/>
    </xf>
    <xf numFmtId="4" fontId="126" fillId="41" borderId="22" xfId="0" applyNumberFormat="1" applyFont="1" applyFill="1" applyBorder="1" applyAlignment="1">
      <alignment/>
    </xf>
    <xf numFmtId="0" fontId="118" fillId="41" borderId="28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4" fontId="115" fillId="0" borderId="11" xfId="0" applyNumberFormat="1" applyFont="1" applyBorder="1" applyAlignment="1">
      <alignment/>
    </xf>
    <xf numFmtId="0" fontId="83" fillId="8" borderId="10" xfId="0" applyFont="1" applyFill="1" applyBorder="1" applyAlignment="1">
      <alignment horizontal="center" vertical="center" wrapText="1"/>
    </xf>
    <xf numFmtId="4" fontId="23" fillId="8" borderId="10" xfId="0" applyNumberFormat="1" applyFont="1" applyFill="1" applyBorder="1" applyAlignment="1">
      <alignment horizontal="center" vertical="center"/>
    </xf>
    <xf numFmtId="0" fontId="118" fillId="41" borderId="28" xfId="0" applyFont="1" applyFill="1" applyBorder="1" applyAlignment="1">
      <alignment horizontal="center"/>
    </xf>
    <xf numFmtId="4" fontId="123" fillId="41" borderId="22" xfId="0" applyNumberFormat="1" applyFont="1" applyFill="1" applyBorder="1" applyAlignment="1">
      <alignment/>
    </xf>
    <xf numFmtId="0" fontId="124" fillId="0" borderId="11" xfId="0" applyFont="1" applyBorder="1" applyAlignment="1">
      <alignment/>
    </xf>
    <xf numFmtId="4" fontId="115" fillId="0" borderId="15" xfId="0" applyNumberFormat="1" applyFont="1" applyBorder="1" applyAlignment="1">
      <alignment/>
    </xf>
    <xf numFmtId="4" fontId="122" fillId="41" borderId="10" xfId="0" applyNumberFormat="1" applyFont="1" applyFill="1" applyBorder="1" applyAlignment="1">
      <alignment/>
    </xf>
    <xf numFmtId="4" fontId="122" fillId="41" borderId="14" xfId="0" applyNumberFormat="1" applyFont="1" applyFill="1" applyBorder="1" applyAlignment="1">
      <alignment/>
    </xf>
    <xf numFmtId="4" fontId="125" fillId="62" borderId="10" xfId="0" applyNumberFormat="1" applyFont="1" applyFill="1" applyBorder="1" applyAlignment="1">
      <alignment/>
    </xf>
    <xf numFmtId="4" fontId="144" fillId="42" borderId="10" xfId="0" applyNumberFormat="1" applyFont="1" applyFill="1" applyBorder="1" applyAlignment="1">
      <alignment/>
    </xf>
    <xf numFmtId="4" fontId="144" fillId="42" borderId="14" xfId="0" applyNumberFormat="1" applyFont="1" applyFill="1" applyBorder="1" applyAlignment="1">
      <alignment/>
    </xf>
    <xf numFmtId="0" fontId="144" fillId="42" borderId="16" xfId="0" applyFont="1" applyFill="1" applyBorder="1" applyAlignment="1">
      <alignment horizontal="right" vertical="center" wrapText="1"/>
    </xf>
    <xf numFmtId="4" fontId="144" fillId="42" borderId="10" xfId="0" applyNumberFormat="1" applyFont="1" applyFill="1" applyBorder="1" applyAlignment="1">
      <alignment horizontal="right"/>
    </xf>
    <xf numFmtId="4" fontId="144" fillId="63" borderId="10" xfId="0" applyNumberFormat="1" applyFont="1" applyFill="1" applyBorder="1" applyAlignment="1">
      <alignment/>
    </xf>
    <xf numFmtId="4" fontId="144" fillId="33" borderId="14" xfId="0" applyNumberFormat="1" applyFont="1" applyFill="1" applyBorder="1" applyAlignment="1">
      <alignment/>
    </xf>
    <xf numFmtId="4" fontId="144" fillId="33" borderId="10" xfId="0" applyNumberFormat="1" applyFont="1" applyFill="1" applyBorder="1" applyAlignment="1">
      <alignment/>
    </xf>
    <xf numFmtId="0" fontId="134" fillId="33" borderId="10" xfId="0" applyFont="1" applyFill="1" applyBorder="1" applyAlignment="1">
      <alignment horizontal="right" vertical="center" wrapText="1"/>
    </xf>
    <xf numFmtId="4" fontId="23" fillId="33" borderId="10" xfId="0" applyNumberFormat="1" applyFont="1" applyFill="1" applyBorder="1" applyAlignment="1">
      <alignment/>
    </xf>
    <xf numFmtId="4" fontId="23" fillId="33" borderId="14" xfId="0" applyNumberFormat="1" applyFont="1" applyFill="1" applyBorder="1" applyAlignment="1">
      <alignment/>
    </xf>
    <xf numFmtId="4" fontId="23" fillId="62" borderId="10" xfId="0" applyNumberFormat="1" applyFont="1" applyFill="1" applyBorder="1" applyAlignment="1">
      <alignment/>
    </xf>
    <xf numFmtId="4" fontId="40" fillId="41" borderId="10" xfId="0" applyNumberFormat="1" applyFont="1" applyFill="1" applyBorder="1" applyAlignment="1">
      <alignment/>
    </xf>
    <xf numFmtId="0" fontId="118" fillId="41" borderId="16" xfId="0" applyFont="1" applyFill="1" applyBorder="1" applyAlignment="1">
      <alignment horizontal="center"/>
    </xf>
    <xf numFmtId="4" fontId="127" fillId="62" borderId="10" xfId="0" applyNumberFormat="1" applyFont="1" applyFill="1" applyBorder="1" applyAlignment="1">
      <alignment/>
    </xf>
    <xf numFmtId="0" fontId="14" fillId="41" borderId="16" xfId="0" applyFont="1" applyFill="1" applyBorder="1" applyAlignment="1">
      <alignment horizontal="center" vertical="center" wrapText="1"/>
    </xf>
    <xf numFmtId="0" fontId="11" fillId="41" borderId="10" xfId="0" applyFont="1" applyFill="1" applyBorder="1" applyAlignment="1">
      <alignment horizontal="center" vertical="center" wrapText="1"/>
    </xf>
    <xf numFmtId="4" fontId="40" fillId="41" borderId="14" xfId="0" applyNumberFormat="1" applyFont="1" applyFill="1" applyBorder="1" applyAlignment="1">
      <alignment/>
    </xf>
    <xf numFmtId="0" fontId="123" fillId="41" borderId="10" xfId="0" applyFont="1" applyFill="1" applyBorder="1" applyAlignment="1">
      <alignment horizontal="center" vertical="center"/>
    </xf>
    <xf numFmtId="4" fontId="115" fillId="62" borderId="10" xfId="0" applyNumberFormat="1" applyFont="1" applyFill="1" applyBorder="1" applyAlignment="1">
      <alignment/>
    </xf>
    <xf numFmtId="0" fontId="23" fillId="7" borderId="10" xfId="0" applyFont="1" applyFill="1" applyBorder="1" applyAlignment="1">
      <alignment vertical="center" wrapText="1"/>
    </xf>
    <xf numFmtId="0" fontId="23" fillId="7" borderId="10" xfId="0" applyFont="1" applyFill="1" applyBorder="1" applyAlignment="1">
      <alignment horizontal="right" vertical="center" wrapText="1"/>
    </xf>
    <xf numFmtId="4" fontId="115" fillId="55" borderId="10" xfId="0" applyNumberFormat="1" applyFont="1" applyFill="1" applyBorder="1" applyAlignment="1">
      <alignment/>
    </xf>
    <xf numFmtId="4" fontId="117" fillId="51" borderId="10" xfId="0" applyNumberFormat="1" applyFont="1" applyFill="1" applyBorder="1" applyAlignment="1">
      <alignment horizontal="center"/>
    </xf>
    <xf numFmtId="0" fontId="40" fillId="21" borderId="10" xfId="0" applyFont="1" applyFill="1" applyBorder="1" applyAlignment="1">
      <alignment horizontal="center" vertical="center" wrapText="1"/>
    </xf>
    <xf numFmtId="4" fontId="115" fillId="37" borderId="10" xfId="0" applyNumberFormat="1" applyFont="1" applyFill="1" applyBorder="1" applyAlignment="1">
      <alignment/>
    </xf>
    <xf numFmtId="4" fontId="115" fillId="21" borderId="10" xfId="0" applyNumberFormat="1" applyFont="1" applyFill="1" applyBorder="1" applyAlignment="1">
      <alignment/>
    </xf>
    <xf numFmtId="4" fontId="115" fillId="21" borderId="14" xfId="0" applyNumberFormat="1" applyFont="1" applyFill="1" applyBorder="1" applyAlignment="1">
      <alignment/>
    </xf>
    <xf numFmtId="4" fontId="113" fillId="41" borderId="10" xfId="0" applyNumberFormat="1" applyFont="1" applyFill="1" applyBorder="1" applyAlignment="1">
      <alignment/>
    </xf>
    <xf numFmtId="4" fontId="113" fillId="40" borderId="10" xfId="0" applyNumberFormat="1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8" borderId="11" xfId="0" applyFill="1" applyBorder="1" applyAlignment="1">
      <alignment horizontal="center" vertical="center" wrapText="1"/>
    </xf>
    <xf numFmtId="0" fontId="0" fillId="38" borderId="11" xfId="0" applyFill="1" applyBorder="1" applyAlignment="1">
      <alignment horizontal="center" vertical="center"/>
    </xf>
    <xf numFmtId="0" fontId="57" fillId="38" borderId="11" xfId="0" applyFont="1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/>
    </xf>
    <xf numFmtId="4" fontId="113" fillId="4" borderId="10" xfId="0" applyNumberFormat="1" applyFont="1" applyFill="1" applyBorder="1" applyAlignment="1">
      <alignment/>
    </xf>
    <xf numFmtId="0" fontId="127" fillId="0" borderId="10" xfId="0" applyFont="1" applyBorder="1" applyAlignment="1">
      <alignment horizontal="center"/>
    </xf>
    <xf numFmtId="2" fontId="134" fillId="59" borderId="10" xfId="0" applyNumberFormat="1" applyFont="1" applyFill="1" applyBorder="1" applyAlignment="1">
      <alignment horizontal="center" vertical="center"/>
    </xf>
    <xf numFmtId="4" fontId="115" fillId="19" borderId="10" xfId="0" applyNumberFormat="1" applyFont="1" applyFill="1" applyBorder="1" applyAlignment="1">
      <alignment horizontal="center"/>
    </xf>
    <xf numFmtId="0" fontId="0" fillId="53" borderId="0" xfId="0" applyFill="1" applyAlignment="1">
      <alignment/>
    </xf>
    <xf numFmtId="0" fontId="117" fillId="53" borderId="0" xfId="0" applyFont="1" applyFill="1" applyBorder="1" applyAlignment="1">
      <alignment horizontal="center" vertical="center" wrapText="1"/>
    </xf>
    <xf numFmtId="4" fontId="126" fillId="53" borderId="0" xfId="0" applyNumberFormat="1" applyFont="1" applyFill="1" applyBorder="1" applyAlignment="1">
      <alignment horizontal="center" vertical="center"/>
    </xf>
    <xf numFmtId="4" fontId="115" fillId="53" borderId="0" xfId="0" applyNumberFormat="1" applyFont="1" applyFill="1" applyAlignment="1">
      <alignment horizontal="center"/>
    </xf>
    <xf numFmtId="0" fontId="115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5" fillId="53" borderId="0" xfId="0" applyFont="1" applyFill="1" applyBorder="1" applyAlignment="1">
      <alignment horizontal="center" vertical="center"/>
    </xf>
    <xf numFmtId="0" fontId="115" fillId="53" borderId="0" xfId="0" applyFont="1" applyFill="1" applyBorder="1" applyAlignment="1">
      <alignment horizontal="center" vertical="center" wrapText="1"/>
    </xf>
    <xf numFmtId="4" fontId="115" fillId="53" borderId="0" xfId="0" applyNumberFormat="1" applyFont="1" applyFill="1" applyBorder="1" applyAlignment="1">
      <alignment/>
    </xf>
    <xf numFmtId="0" fontId="115" fillId="53" borderId="0" xfId="0" applyFont="1" applyFill="1" applyBorder="1" applyAlignment="1">
      <alignment/>
    </xf>
    <xf numFmtId="4" fontId="126" fillId="53" borderId="0" xfId="0" applyNumberFormat="1" applyFont="1" applyFill="1" applyBorder="1" applyAlignment="1">
      <alignment/>
    </xf>
    <xf numFmtId="0" fontId="126" fillId="53" borderId="0" xfId="0" applyFont="1" applyFill="1" applyBorder="1" applyAlignment="1">
      <alignment/>
    </xf>
    <xf numFmtId="0" fontId="14" fillId="41" borderId="16" xfId="0" applyFont="1" applyFill="1" applyBorder="1" applyAlignment="1">
      <alignment horizontal="right" vertical="center" wrapText="1"/>
    </xf>
    <xf numFmtId="4" fontId="115" fillId="41" borderId="30" xfId="0" applyNumberFormat="1" applyFont="1" applyFill="1" applyBorder="1" applyAlignment="1">
      <alignment/>
    </xf>
    <xf numFmtId="4" fontId="122" fillId="41" borderId="10" xfId="0" applyNumberFormat="1" applyFont="1" applyFill="1" applyBorder="1" applyAlignment="1">
      <alignment horizontal="right"/>
    </xf>
    <xf numFmtId="0" fontId="14" fillId="41" borderId="10" xfId="0" applyFont="1" applyFill="1" applyBorder="1" applyAlignment="1">
      <alignment horizontal="right" vertical="center" wrapText="1"/>
    </xf>
    <xf numFmtId="4" fontId="115" fillId="41" borderId="10" xfId="0" applyNumberFormat="1" applyFont="1" applyFill="1" applyBorder="1" applyAlignment="1">
      <alignment horizontal="right"/>
    </xf>
    <xf numFmtId="4" fontId="0" fillId="0" borderId="19" xfId="0" applyNumberFormat="1" applyBorder="1" applyAlignment="1">
      <alignment/>
    </xf>
    <xf numFmtId="0" fontId="22" fillId="6" borderId="30" xfId="0" applyFont="1" applyFill="1" applyBorder="1" applyAlignment="1">
      <alignment horizontal="center" vertical="center" wrapText="1"/>
    </xf>
    <xf numFmtId="0" fontId="11" fillId="19" borderId="16" xfId="0" applyFont="1" applyFill="1" applyBorder="1" applyAlignment="1">
      <alignment horizontal="left"/>
    </xf>
    <xf numFmtId="0" fontId="11" fillId="19" borderId="10" xfId="0" applyFont="1" applyFill="1" applyBorder="1" applyAlignment="1">
      <alignment horizontal="left"/>
    </xf>
    <xf numFmtId="0" fontId="11" fillId="19" borderId="14" xfId="0" applyFont="1" applyFill="1" applyBorder="1" applyAlignment="1">
      <alignment horizontal="left"/>
    </xf>
    <xf numFmtId="0" fontId="135" fillId="19" borderId="10" xfId="0" applyFont="1" applyFill="1" applyBorder="1" applyAlignment="1">
      <alignment/>
    </xf>
    <xf numFmtId="0" fontId="30" fillId="19" borderId="10" xfId="0" applyFont="1" applyFill="1" applyBorder="1" applyAlignment="1">
      <alignment/>
    </xf>
    <xf numFmtId="0" fontId="125" fillId="19" borderId="10" xfId="0" applyFont="1" applyFill="1" applyBorder="1" applyAlignment="1">
      <alignment/>
    </xf>
    <xf numFmtId="4" fontId="144" fillId="53" borderId="10" xfId="0" applyNumberFormat="1" applyFont="1" applyFill="1" applyBorder="1" applyAlignment="1">
      <alignment/>
    </xf>
    <xf numFmtId="0" fontId="149" fillId="0" borderId="10" xfId="0" applyFont="1" applyBorder="1" applyAlignment="1">
      <alignment horizontal="center" vertical="center"/>
    </xf>
    <xf numFmtId="0" fontId="149" fillId="0" borderId="25" xfId="0" applyFont="1" applyBorder="1" applyAlignment="1">
      <alignment horizontal="center" vertical="center"/>
    </xf>
    <xf numFmtId="0" fontId="149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2" fillId="0" borderId="10" xfId="0" applyFont="1" applyBorder="1" applyAlignment="1">
      <alignment/>
    </xf>
    <xf numFmtId="4" fontId="144" fillId="33" borderId="10" xfId="0" applyNumberFormat="1" applyFont="1" applyFill="1" applyBorder="1" applyAlignment="1">
      <alignment horizontal="right"/>
    </xf>
    <xf numFmtId="4" fontId="142" fillId="0" borderId="14" xfId="0" applyNumberFormat="1" applyFont="1" applyBorder="1" applyAlignment="1">
      <alignment/>
    </xf>
    <xf numFmtId="0" fontId="122" fillId="41" borderId="10" xfId="0" applyFont="1" applyFill="1" applyBorder="1" applyAlignment="1">
      <alignment horizontal="center" vertical="center"/>
    </xf>
    <xf numFmtId="4" fontId="23" fillId="42" borderId="14" xfId="0" applyNumberFormat="1" applyFont="1" applyFill="1" applyBorder="1" applyAlignment="1">
      <alignment/>
    </xf>
    <xf numFmtId="0" fontId="121" fillId="0" borderId="0" xfId="0" applyFont="1" applyAlignment="1">
      <alignment horizontal="center"/>
    </xf>
    <xf numFmtId="0" fontId="118" fillId="41" borderId="63" xfId="0" applyFont="1" applyFill="1" applyBorder="1" applyAlignment="1">
      <alignment horizontal="center"/>
    </xf>
    <xf numFmtId="4" fontId="134" fillId="33" borderId="10" xfId="0" applyNumberFormat="1" applyFont="1" applyFill="1" applyBorder="1" applyAlignment="1">
      <alignment/>
    </xf>
    <xf numFmtId="192" fontId="137" fillId="53" borderId="19" xfId="0" applyNumberFormat="1" applyFont="1" applyFill="1" applyBorder="1" applyAlignment="1">
      <alignment/>
    </xf>
    <xf numFmtId="2" fontId="140" fillId="0" borderId="28" xfId="0" applyNumberFormat="1" applyFont="1" applyBorder="1" applyAlignment="1">
      <alignment/>
    </xf>
    <xf numFmtId="0" fontId="125" fillId="53" borderId="10" xfId="0" applyFont="1" applyFill="1" applyBorder="1" applyAlignment="1">
      <alignment/>
    </xf>
    <xf numFmtId="0" fontId="125" fillId="53" borderId="14" xfId="0" applyFont="1" applyFill="1" applyBorder="1" applyAlignment="1">
      <alignment/>
    </xf>
    <xf numFmtId="0" fontId="115" fillId="41" borderId="0" xfId="0" applyFont="1" applyFill="1" applyAlignment="1">
      <alignment/>
    </xf>
    <xf numFmtId="4" fontId="117" fillId="62" borderId="10" xfId="0" applyNumberFormat="1" applyFont="1" applyFill="1" applyBorder="1" applyAlignment="1">
      <alignment/>
    </xf>
    <xf numFmtId="0" fontId="117" fillId="62" borderId="10" xfId="0" applyFont="1" applyFill="1" applyBorder="1" applyAlignment="1">
      <alignment/>
    </xf>
    <xf numFmtId="0" fontId="125" fillId="60" borderId="10" xfId="0" applyFont="1" applyFill="1" applyBorder="1" applyAlignment="1">
      <alignment/>
    </xf>
    <xf numFmtId="4" fontId="117" fillId="60" borderId="10" xfId="0" applyNumberFormat="1" applyFont="1" applyFill="1" applyBorder="1" applyAlignment="1">
      <alignment/>
    </xf>
    <xf numFmtId="4" fontId="22" fillId="60" borderId="10" xfId="0" applyNumberFormat="1" applyFont="1" applyFill="1" applyBorder="1" applyAlignment="1">
      <alignment/>
    </xf>
    <xf numFmtId="4" fontId="125" fillId="60" borderId="10" xfId="0" applyNumberFormat="1" applyFont="1" applyFill="1" applyBorder="1" applyAlignment="1">
      <alignment/>
    </xf>
    <xf numFmtId="0" fontId="122" fillId="60" borderId="10" xfId="0" applyFont="1" applyFill="1" applyBorder="1" applyAlignment="1">
      <alignment/>
    </xf>
    <xf numFmtId="4" fontId="123" fillId="60" borderId="10" xfId="0" applyNumberFormat="1" applyFont="1" applyFill="1" applyBorder="1" applyAlignment="1">
      <alignment/>
    </xf>
    <xf numFmtId="4" fontId="150" fillId="60" borderId="10" xfId="0" applyNumberFormat="1" applyFont="1" applyFill="1" applyBorder="1" applyAlignment="1">
      <alignment horizontal="center" vertical="center"/>
    </xf>
    <xf numFmtId="4" fontId="134" fillId="60" borderId="10" xfId="0" applyNumberFormat="1" applyFont="1" applyFill="1" applyBorder="1" applyAlignment="1">
      <alignment/>
    </xf>
    <xf numFmtId="0" fontId="122" fillId="60" borderId="10" xfId="0" applyFont="1" applyFill="1" applyBorder="1" applyAlignment="1">
      <alignment horizontal="center"/>
    </xf>
    <xf numFmtId="0" fontId="150" fillId="60" borderId="10" xfId="0" applyFont="1" applyFill="1" applyBorder="1" applyAlignment="1">
      <alignment horizontal="center"/>
    </xf>
    <xf numFmtId="4" fontId="123" fillId="60" borderId="25" xfId="0" applyNumberFormat="1" applyFont="1" applyFill="1" applyBorder="1" applyAlignment="1">
      <alignment/>
    </xf>
    <xf numFmtId="4" fontId="123" fillId="53" borderId="0" xfId="0" applyNumberFormat="1" applyFont="1" applyFill="1" applyBorder="1" applyAlignment="1">
      <alignment/>
    </xf>
    <xf numFmtId="4" fontId="23" fillId="53" borderId="0" xfId="0" applyNumberFormat="1" applyFont="1" applyFill="1" applyBorder="1" applyAlignment="1">
      <alignment horizontal="center" vertical="center"/>
    </xf>
    <xf numFmtId="4" fontId="123" fillId="53" borderId="0" xfId="0" applyNumberFormat="1" applyFont="1" applyFill="1" applyBorder="1" applyAlignment="1">
      <alignment horizontal="center" vertical="center"/>
    </xf>
    <xf numFmtId="4" fontId="21" fillId="60" borderId="10" xfId="0" applyNumberFormat="1" applyFont="1" applyFill="1" applyBorder="1" applyAlignment="1">
      <alignment horizontal="center"/>
    </xf>
    <xf numFmtId="4" fontId="123" fillId="60" borderId="10" xfId="0" applyNumberFormat="1" applyFont="1" applyFill="1" applyBorder="1" applyAlignment="1">
      <alignment horizontal="center"/>
    </xf>
    <xf numFmtId="4" fontId="128" fillId="60" borderId="10" xfId="0" applyNumberFormat="1" applyFont="1" applyFill="1" applyBorder="1" applyAlignment="1">
      <alignment horizontal="center"/>
    </xf>
    <xf numFmtId="4" fontId="0" fillId="41" borderId="10" xfId="0" applyNumberFormat="1" applyFill="1" applyBorder="1" applyAlignment="1">
      <alignment horizontal="center"/>
    </xf>
    <xf numFmtId="0" fontId="40" fillId="62" borderId="10" xfId="0" applyFont="1" applyFill="1" applyBorder="1" applyAlignment="1">
      <alignment/>
    </xf>
    <xf numFmtId="4" fontId="118" fillId="41" borderId="10" xfId="0" applyNumberFormat="1" applyFont="1" applyFill="1" applyBorder="1" applyAlignment="1">
      <alignment horizontal="center"/>
    </xf>
    <xf numFmtId="0" fontId="118" fillId="53" borderId="28" xfId="0" applyFont="1" applyFill="1" applyBorder="1" applyAlignment="1">
      <alignment horizontal="center"/>
    </xf>
    <xf numFmtId="0" fontId="83" fillId="53" borderId="10" xfId="0" applyFont="1" applyFill="1" applyBorder="1" applyAlignment="1">
      <alignment horizontal="center" vertical="center" wrapText="1"/>
    </xf>
    <xf numFmtId="0" fontId="124" fillId="53" borderId="11" xfId="0" applyFont="1" applyFill="1" applyBorder="1" applyAlignment="1">
      <alignment/>
    </xf>
    <xf numFmtId="0" fontId="124" fillId="53" borderId="10" xfId="0" applyFont="1" applyFill="1" applyBorder="1" applyAlignment="1">
      <alignment/>
    </xf>
    <xf numFmtId="0" fontId="127" fillId="53" borderId="10" xfId="0" applyFont="1" applyFill="1" applyBorder="1" applyAlignment="1">
      <alignment vertical="center"/>
    </xf>
    <xf numFmtId="4" fontId="126" fillId="53" borderId="10" xfId="0" applyNumberFormat="1" applyFont="1" applyFill="1" applyBorder="1" applyAlignment="1">
      <alignment/>
    </xf>
    <xf numFmtId="16" fontId="0" fillId="0" borderId="10" xfId="0" applyNumberFormat="1" applyFont="1" applyBorder="1" applyAlignment="1">
      <alignment/>
    </xf>
    <xf numFmtId="16" fontId="0" fillId="38" borderId="10" xfId="0" applyNumberFormat="1" applyFill="1" applyBorder="1" applyAlignment="1">
      <alignment/>
    </xf>
    <xf numFmtId="17" fontId="0" fillId="38" borderId="10" xfId="0" applyNumberFormat="1" applyFill="1" applyBorder="1" applyAlignment="1">
      <alignment/>
    </xf>
    <xf numFmtId="16" fontId="0" fillId="38" borderId="1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6" fillId="33" borderId="0" xfId="0" applyFont="1" applyFill="1" applyBorder="1" applyAlignment="1">
      <alignment/>
    </xf>
    <xf numFmtId="4" fontId="151" fillId="41" borderId="0" xfId="0" applyNumberFormat="1" applyFont="1" applyFill="1" applyAlignment="1">
      <alignment/>
    </xf>
    <xf numFmtId="4" fontId="115" fillId="58" borderId="22" xfId="0" applyNumberFormat="1" applyFont="1" applyFill="1" applyBorder="1" applyAlignment="1">
      <alignment/>
    </xf>
    <xf numFmtId="0" fontId="118" fillId="58" borderId="35" xfId="0" applyFont="1" applyFill="1" applyBorder="1" applyAlignment="1">
      <alignment horizontal="center" wrapText="1"/>
    </xf>
    <xf numFmtId="0" fontId="118" fillId="58" borderId="19" xfId="0" applyFont="1" applyFill="1" applyBorder="1" applyAlignment="1">
      <alignment/>
    </xf>
    <xf numFmtId="0" fontId="118" fillId="58" borderId="19" xfId="0" applyFont="1" applyFill="1" applyBorder="1" applyAlignment="1">
      <alignment wrapText="1"/>
    </xf>
    <xf numFmtId="0" fontId="118" fillId="58" borderId="28" xfId="0" applyFont="1" applyFill="1" applyBorder="1" applyAlignment="1">
      <alignment horizontal="center"/>
    </xf>
    <xf numFmtId="4" fontId="123" fillId="58" borderId="49" xfId="0" applyNumberFormat="1" applyFont="1" applyFill="1" applyBorder="1" applyAlignment="1">
      <alignment horizontal="center"/>
    </xf>
    <xf numFmtId="4" fontId="126" fillId="58" borderId="16" xfId="0" applyNumberFormat="1" applyFont="1" applyFill="1" applyBorder="1" applyAlignment="1">
      <alignment horizontal="center"/>
    </xf>
    <xf numFmtId="4" fontId="126" fillId="58" borderId="22" xfId="0" applyNumberFormat="1" applyFont="1" applyFill="1" applyBorder="1" applyAlignment="1">
      <alignment horizontal="center"/>
    </xf>
    <xf numFmtId="4" fontId="126" fillId="58" borderId="0" xfId="0" applyNumberFormat="1" applyFont="1" applyFill="1" applyBorder="1" applyAlignment="1">
      <alignment horizontal="center"/>
    </xf>
    <xf numFmtId="4" fontId="23" fillId="8" borderId="0" xfId="0" applyNumberFormat="1" applyFont="1" applyFill="1" applyBorder="1" applyAlignment="1">
      <alignment horizontal="center" vertical="center"/>
    </xf>
    <xf numFmtId="4" fontId="115" fillId="0" borderId="0" xfId="0" applyNumberFormat="1" applyFont="1" applyBorder="1" applyAlignment="1">
      <alignment/>
    </xf>
    <xf numFmtId="0" fontId="115" fillId="0" borderId="0" xfId="0" applyFont="1" applyBorder="1" applyAlignment="1">
      <alignment/>
    </xf>
    <xf numFmtId="4" fontId="115" fillId="55" borderId="0" xfId="0" applyNumberFormat="1" applyFont="1" applyFill="1" applyBorder="1" applyAlignment="1">
      <alignment/>
    </xf>
    <xf numFmtId="4" fontId="126" fillId="66" borderId="14" xfId="0" applyNumberFormat="1" applyFont="1" applyFill="1" applyBorder="1" applyAlignment="1">
      <alignment/>
    </xf>
    <xf numFmtId="4" fontId="125" fillId="37" borderId="10" xfId="0" applyNumberFormat="1" applyFont="1" applyFill="1" applyBorder="1" applyAlignment="1">
      <alignment horizontal="center"/>
    </xf>
    <xf numFmtId="4" fontId="22" fillId="53" borderId="10" xfId="0" applyNumberFormat="1" applyFont="1" applyFill="1" applyBorder="1" applyAlignment="1">
      <alignment horizontal="center"/>
    </xf>
    <xf numFmtId="4" fontId="126" fillId="67" borderId="10" xfId="0" applyNumberFormat="1" applyFont="1" applyFill="1" applyBorder="1" applyAlignment="1">
      <alignment horizontal="center"/>
    </xf>
    <xf numFmtId="0" fontId="83" fillId="53" borderId="28" xfId="0" applyFont="1" applyFill="1" applyBorder="1" applyAlignment="1">
      <alignment horizontal="center"/>
    </xf>
    <xf numFmtId="0" fontId="83" fillId="41" borderId="10" xfId="0" applyFont="1" applyFill="1" applyBorder="1" applyAlignment="1">
      <alignment horizontal="center" vertical="center" wrapText="1"/>
    </xf>
    <xf numFmtId="0" fontId="115" fillId="41" borderId="10" xfId="0" applyFont="1" applyFill="1" applyBorder="1" applyAlignment="1">
      <alignment horizontal="center" vertical="center" wrapText="1"/>
    </xf>
    <xf numFmtId="4" fontId="40" fillId="66" borderId="10" xfId="0" applyNumberFormat="1" applyFont="1" applyFill="1" applyBorder="1" applyAlignment="1">
      <alignment/>
    </xf>
    <xf numFmtId="4" fontId="125" fillId="37" borderId="10" xfId="0" applyNumberFormat="1" applyFont="1" applyFill="1" applyBorder="1" applyAlignment="1">
      <alignment horizontal="center" vertical="center"/>
    </xf>
    <xf numFmtId="4" fontId="126" fillId="42" borderId="10" xfId="0" applyNumberFormat="1" applyFont="1" applyFill="1" applyBorder="1" applyAlignment="1">
      <alignment horizontal="center" vertical="center"/>
    </xf>
    <xf numFmtId="4" fontId="126" fillId="40" borderId="10" xfId="0" applyNumberFormat="1" applyFont="1" applyFill="1" applyBorder="1" applyAlignment="1">
      <alignment horizontal="center"/>
    </xf>
    <xf numFmtId="4" fontId="115" fillId="40" borderId="10" xfId="0" applyNumberFormat="1" applyFont="1" applyFill="1" applyBorder="1" applyAlignment="1">
      <alignment horizontal="center"/>
    </xf>
    <xf numFmtId="2" fontId="115" fillId="0" borderId="14" xfId="0" applyNumberFormat="1" applyFont="1" applyBorder="1" applyAlignment="1">
      <alignment/>
    </xf>
    <xf numFmtId="0" fontId="124" fillId="53" borderId="0" xfId="0" applyFont="1" applyFill="1" applyBorder="1" applyAlignment="1">
      <alignment/>
    </xf>
    <xf numFmtId="0" fontId="127" fillId="53" borderId="0" xfId="0" applyFont="1" applyFill="1" applyBorder="1" applyAlignment="1">
      <alignment vertical="center"/>
    </xf>
    <xf numFmtId="4" fontId="115" fillId="53" borderId="0" xfId="0" applyNumberFormat="1" applyFont="1" applyFill="1" applyBorder="1" applyAlignment="1">
      <alignment/>
    </xf>
    <xf numFmtId="0" fontId="115" fillId="53" borderId="0" xfId="0" applyFont="1" applyFill="1" applyBorder="1" applyAlignment="1">
      <alignment/>
    </xf>
    <xf numFmtId="4" fontId="83" fillId="53" borderId="0" xfId="0" applyNumberFormat="1" applyFont="1" applyFill="1" applyBorder="1" applyAlignment="1">
      <alignment horizontal="center" vertical="center" wrapText="1"/>
    </xf>
    <xf numFmtId="4" fontId="106" fillId="0" borderId="15" xfId="0" applyNumberFormat="1" applyFont="1" applyFill="1" applyBorder="1" applyAlignment="1">
      <alignment/>
    </xf>
    <xf numFmtId="0" fontId="0" fillId="12" borderId="11" xfId="0" applyFill="1" applyBorder="1" applyAlignment="1">
      <alignment/>
    </xf>
    <xf numFmtId="0" fontId="0" fillId="12" borderId="10" xfId="0" applyFont="1" applyFill="1" applyBorder="1" applyAlignment="1">
      <alignment/>
    </xf>
    <xf numFmtId="4" fontId="6" fillId="33" borderId="22" xfId="0" applyNumberFormat="1" applyFont="1" applyFill="1" applyBorder="1" applyAlignment="1">
      <alignment/>
    </xf>
    <xf numFmtId="4" fontId="28" fillId="54" borderId="21" xfId="0" applyNumberFormat="1" applyFont="1" applyFill="1" applyBorder="1" applyAlignment="1">
      <alignment/>
    </xf>
    <xf numFmtId="4" fontId="28" fillId="54" borderId="64" xfId="0" applyNumberFormat="1" applyFont="1" applyFill="1" applyBorder="1" applyAlignment="1">
      <alignment/>
    </xf>
    <xf numFmtId="4" fontId="0" fillId="3" borderId="31" xfId="0" applyNumberFormat="1" applyFill="1" applyBorder="1" applyAlignment="1">
      <alignment/>
    </xf>
    <xf numFmtId="4" fontId="0" fillId="37" borderId="31" xfId="0" applyNumberFormat="1" applyFill="1" applyBorder="1" applyAlignment="1">
      <alignment/>
    </xf>
    <xf numFmtId="4" fontId="6" fillId="3" borderId="31" xfId="0" applyNumberFormat="1" applyFont="1" applyFill="1" applyBorder="1" applyAlignment="1">
      <alignment/>
    </xf>
    <xf numFmtId="0" fontId="0" fillId="0" borderId="65" xfId="0" applyBorder="1" applyAlignment="1">
      <alignment/>
    </xf>
    <xf numFmtId="4" fontId="0" fillId="33" borderId="36" xfId="0" applyNumberFormat="1" applyFill="1" applyBorder="1" applyAlignment="1">
      <alignment/>
    </xf>
    <xf numFmtId="4" fontId="0" fillId="33" borderId="25" xfId="0" applyNumberFormat="1" applyFill="1" applyBorder="1" applyAlignment="1">
      <alignment/>
    </xf>
    <xf numFmtId="17" fontId="0" fillId="38" borderId="14" xfId="0" applyNumberFormat="1" applyFill="1" applyBorder="1" applyAlignment="1">
      <alignment horizontal="center" vertical="center"/>
    </xf>
    <xf numFmtId="0" fontId="0" fillId="38" borderId="42" xfId="0" applyFill="1" applyBorder="1" applyAlignment="1">
      <alignment horizontal="center"/>
    </xf>
    <xf numFmtId="0" fontId="0" fillId="38" borderId="43" xfId="0" applyFont="1" applyFill="1" applyBorder="1" applyAlignment="1">
      <alignment horizontal="center"/>
    </xf>
    <xf numFmtId="4" fontId="126" fillId="53" borderId="0" xfId="0" applyNumberFormat="1" applyFont="1" applyFill="1" applyBorder="1" applyAlignment="1">
      <alignment horizontal="center"/>
    </xf>
    <xf numFmtId="0" fontId="22" fillId="41" borderId="10" xfId="0" applyFont="1" applyFill="1" applyBorder="1" applyAlignment="1">
      <alignment horizontal="center" wrapText="1"/>
    </xf>
    <xf numFmtId="0" fontId="126" fillId="41" borderId="10" xfId="0" applyFont="1" applyFill="1" applyBorder="1" applyAlignment="1">
      <alignment wrapText="1"/>
    </xf>
    <xf numFmtId="4" fontId="123" fillId="41" borderId="14" xfId="0" applyNumberFormat="1" applyFont="1" applyFill="1" applyBorder="1" applyAlignment="1">
      <alignment/>
    </xf>
    <xf numFmtId="4" fontId="21" fillId="41" borderId="36" xfId="0" applyNumberFormat="1" applyFont="1" applyFill="1" applyBorder="1" applyAlignment="1">
      <alignment horizontal="center" vertical="center"/>
    </xf>
    <xf numFmtId="0" fontId="22" fillId="53" borderId="10" xfId="0" applyFont="1" applyFill="1" applyBorder="1" applyAlignment="1">
      <alignment horizontal="center" wrapText="1"/>
    </xf>
    <xf numFmtId="0" fontId="40" fillId="53" borderId="10" xfId="0" applyFont="1" applyFill="1" applyBorder="1" applyAlignment="1">
      <alignment horizontal="center" vertical="center" wrapText="1"/>
    </xf>
    <xf numFmtId="4" fontId="115" fillId="53" borderId="10" xfId="0" applyNumberFormat="1" applyFont="1" applyFill="1" applyBorder="1" applyAlignment="1">
      <alignment/>
    </xf>
    <xf numFmtId="0" fontId="22" fillId="41" borderId="16" xfId="0" applyFont="1" applyFill="1" applyBorder="1" applyAlignment="1">
      <alignment horizontal="center" wrapText="1"/>
    </xf>
    <xf numFmtId="0" fontId="125" fillId="41" borderId="16" xfId="0" applyFont="1" applyFill="1" applyBorder="1" applyAlignment="1">
      <alignment horizontal="center"/>
    </xf>
    <xf numFmtId="0" fontId="125" fillId="41" borderId="22" xfId="0" applyFont="1" applyFill="1" applyBorder="1" applyAlignment="1">
      <alignment horizontal="center"/>
    </xf>
    <xf numFmtId="0" fontId="125" fillId="53" borderId="16" xfId="0" applyFont="1" applyFill="1" applyBorder="1" applyAlignment="1">
      <alignment horizontal="center"/>
    </xf>
    <xf numFmtId="4" fontId="125" fillId="41" borderId="22" xfId="0" applyNumberFormat="1" applyFont="1" applyFill="1" applyBorder="1" applyAlignment="1">
      <alignment horizontal="center" vertical="center"/>
    </xf>
    <xf numFmtId="0" fontId="125" fillId="41" borderId="22" xfId="0" applyFont="1" applyFill="1" applyBorder="1" applyAlignment="1">
      <alignment horizontal="center" vertical="center"/>
    </xf>
    <xf numFmtId="0" fontId="126" fillId="62" borderId="10" xfId="0" applyFont="1" applyFill="1" applyBorder="1" applyAlignment="1">
      <alignment horizontal="center" vertical="center"/>
    </xf>
    <xf numFmtId="4" fontId="127" fillId="59" borderId="10" xfId="0" applyNumberFormat="1" applyFont="1" applyFill="1" applyBorder="1" applyAlignment="1">
      <alignment horizontal="center" vertical="center"/>
    </xf>
    <xf numFmtId="4" fontId="126" fillId="59" borderId="10" xfId="0" applyNumberFormat="1" applyFont="1" applyFill="1" applyBorder="1" applyAlignment="1">
      <alignment horizontal="center" vertical="center"/>
    </xf>
    <xf numFmtId="0" fontId="127" fillId="59" borderId="10" xfId="0" applyFont="1" applyFill="1" applyBorder="1" applyAlignment="1">
      <alignment horizontal="center" vertical="center"/>
    </xf>
    <xf numFmtId="4" fontId="152" fillId="59" borderId="10" xfId="0" applyNumberFormat="1" applyFont="1" applyFill="1" applyBorder="1" applyAlignment="1">
      <alignment horizontal="center" vertical="center"/>
    </xf>
    <xf numFmtId="0" fontId="126" fillId="59" borderId="10" xfId="0" applyFont="1" applyFill="1" applyBorder="1" applyAlignment="1">
      <alignment horizontal="center" vertical="center"/>
    </xf>
    <xf numFmtId="0" fontId="152" fillId="59" borderId="10" xfId="0" applyFont="1" applyFill="1" applyBorder="1" applyAlignment="1">
      <alignment horizontal="center" vertical="center"/>
    </xf>
    <xf numFmtId="4" fontId="126" fillId="55" borderId="10" xfId="0" applyNumberFormat="1" applyFont="1" applyFill="1" applyBorder="1" applyAlignment="1">
      <alignment horizontal="center" vertical="center"/>
    </xf>
    <xf numFmtId="0" fontId="22" fillId="53" borderId="10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4" fontId="134" fillId="41" borderId="10" xfId="0" applyNumberFormat="1" applyFont="1" applyFill="1" applyBorder="1" applyAlignment="1">
      <alignment horizontal="center"/>
    </xf>
    <xf numFmtId="4" fontId="40" fillId="37" borderId="10" xfId="0" applyNumberFormat="1" applyFont="1" applyFill="1" applyBorder="1" applyAlignment="1">
      <alignment/>
    </xf>
    <xf numFmtId="4" fontId="126" fillId="37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22" fillId="32" borderId="30" xfId="0" applyFont="1" applyFill="1" applyBorder="1" applyAlignment="1">
      <alignment horizontal="center" wrapText="1"/>
    </xf>
    <xf numFmtId="4" fontId="23" fillId="41" borderId="22" xfId="0" applyNumberFormat="1" applyFont="1" applyFill="1" applyBorder="1" applyAlignment="1">
      <alignment horizontal="center" vertical="center"/>
    </xf>
    <xf numFmtId="0" fontId="125" fillId="41" borderId="19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center" wrapText="1"/>
    </xf>
    <xf numFmtId="0" fontId="125" fillId="41" borderId="35" xfId="0" applyFont="1" applyFill="1" applyBorder="1" applyAlignment="1">
      <alignment horizontal="center" vertical="center" wrapText="1"/>
    </xf>
    <xf numFmtId="0" fontId="125" fillId="41" borderId="19" xfId="0" applyFont="1" applyFill="1" applyBorder="1" applyAlignment="1">
      <alignment horizontal="center" vertical="center" wrapText="1"/>
    </xf>
    <xf numFmtId="0" fontId="22" fillId="41" borderId="28" xfId="0" applyFont="1" applyFill="1" applyBorder="1" applyAlignment="1">
      <alignment horizontal="center" vertical="center"/>
    </xf>
    <xf numFmtId="4" fontId="126" fillId="41" borderId="49" xfId="0" applyNumberFormat="1" applyFont="1" applyFill="1" applyBorder="1" applyAlignment="1">
      <alignment horizontal="center" vertical="center"/>
    </xf>
    <xf numFmtId="4" fontId="126" fillId="41" borderId="16" xfId="0" applyNumberFormat="1" applyFont="1" applyFill="1" applyBorder="1" applyAlignment="1">
      <alignment horizontal="center" vertical="center"/>
    </xf>
    <xf numFmtId="4" fontId="126" fillId="0" borderId="14" xfId="0" applyNumberFormat="1" applyFont="1" applyBorder="1" applyAlignment="1">
      <alignment horizontal="center" vertical="center"/>
    </xf>
    <xf numFmtId="0" fontId="126" fillId="0" borderId="14" xfId="0" applyFont="1" applyBorder="1" applyAlignment="1">
      <alignment horizontal="center" vertical="center"/>
    </xf>
    <xf numFmtId="0" fontId="124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53" borderId="0" xfId="0" applyFill="1" applyBorder="1" applyAlignment="1">
      <alignment horizontal="center"/>
    </xf>
    <xf numFmtId="2" fontId="143" fillId="0" borderId="10" xfId="0" applyNumberFormat="1" applyFont="1" applyBorder="1" applyAlignment="1">
      <alignment/>
    </xf>
    <xf numFmtId="0" fontId="127" fillId="41" borderId="25" xfId="0" applyFont="1" applyFill="1" applyBorder="1" applyAlignment="1">
      <alignment horizontal="center" vertical="center" wrapText="1"/>
    </xf>
    <xf numFmtId="4" fontId="140" fillId="14" borderId="10" xfId="0" applyNumberFormat="1" applyFont="1" applyFill="1" applyBorder="1" applyAlignment="1">
      <alignment/>
    </xf>
    <xf numFmtId="49" fontId="27" fillId="45" borderId="14" xfId="0" applyNumberFormat="1" applyFont="1" applyFill="1" applyBorder="1" applyAlignment="1">
      <alignment horizontal="center" vertical="center"/>
    </xf>
    <xf numFmtId="0" fontId="0" fillId="68" borderId="0" xfId="0" applyFill="1" applyAlignment="1">
      <alignment/>
    </xf>
    <xf numFmtId="4" fontId="57" fillId="68" borderId="25" xfId="0" applyNumberFormat="1" applyFont="1" applyFill="1" applyBorder="1" applyAlignment="1">
      <alignment/>
    </xf>
    <xf numFmtId="4" fontId="57" fillId="68" borderId="13" xfId="0" applyNumberFormat="1" applyFont="1" applyFill="1" applyBorder="1" applyAlignment="1">
      <alignment/>
    </xf>
    <xf numFmtId="0" fontId="152" fillId="69" borderId="25" xfId="0" applyFont="1" applyFill="1" applyBorder="1" applyAlignment="1">
      <alignment horizontal="center" vertical="center" wrapText="1"/>
    </xf>
    <xf numFmtId="0" fontId="142" fillId="0" borderId="11" xfId="0" applyFont="1" applyBorder="1" applyAlignment="1">
      <alignment horizontal="center" vertical="center"/>
    </xf>
    <xf numFmtId="0" fontId="0" fillId="53" borderId="0" xfId="0" applyFill="1" applyBorder="1" applyAlignment="1">
      <alignment horizontal="center"/>
    </xf>
    <xf numFmtId="0" fontId="117" fillId="19" borderId="25" xfId="0" applyFont="1" applyFill="1" applyBorder="1" applyAlignment="1">
      <alignment horizontal="center" vertical="center" wrapText="1"/>
    </xf>
    <xf numFmtId="0" fontId="135" fillId="62" borderId="0" xfId="0" applyFont="1" applyFill="1" applyBorder="1" applyAlignment="1">
      <alignment horizontal="center"/>
    </xf>
    <xf numFmtId="4" fontId="22" fillId="62" borderId="0" xfId="0" applyNumberFormat="1" applyFont="1" applyFill="1" applyBorder="1" applyAlignment="1">
      <alignment horizontal="center" vertical="center"/>
    </xf>
    <xf numFmtId="2" fontId="22" fillId="59" borderId="66" xfId="0" applyNumberFormat="1" applyFont="1" applyFill="1" applyBorder="1" applyAlignment="1">
      <alignment horizontal="center" vertical="center"/>
    </xf>
    <xf numFmtId="0" fontId="22" fillId="59" borderId="66" xfId="0" applyFont="1" applyFill="1" applyBorder="1" applyAlignment="1">
      <alignment horizontal="center" vertical="center"/>
    </xf>
    <xf numFmtId="4" fontId="22" fillId="59" borderId="66" xfId="0" applyNumberFormat="1" applyFont="1" applyFill="1" applyBorder="1" applyAlignment="1">
      <alignment horizontal="center" vertical="center"/>
    </xf>
    <xf numFmtId="4" fontId="22" fillId="59" borderId="12" xfId="0" applyNumberFormat="1" applyFont="1" applyFill="1" applyBorder="1" applyAlignment="1">
      <alignment horizontal="center" vertical="center"/>
    </xf>
    <xf numFmtId="4" fontId="22" fillId="59" borderId="16" xfId="0" applyNumberFormat="1" applyFont="1" applyFill="1" applyBorder="1" applyAlignment="1">
      <alignment horizontal="center" vertical="center"/>
    </xf>
    <xf numFmtId="0" fontId="22" fillId="59" borderId="16" xfId="0" applyFont="1" applyFill="1" applyBorder="1" applyAlignment="1">
      <alignment horizontal="center" vertical="center"/>
    </xf>
    <xf numFmtId="4" fontId="22" fillId="59" borderId="0" xfId="0" applyNumberFormat="1" applyFont="1" applyFill="1" applyBorder="1" applyAlignment="1">
      <alignment horizontal="center" vertical="center"/>
    </xf>
    <xf numFmtId="4" fontId="125" fillId="59" borderId="0" xfId="0" applyNumberFormat="1" applyFont="1" applyFill="1" applyBorder="1" applyAlignment="1">
      <alignment horizontal="center" vertical="center"/>
    </xf>
    <xf numFmtId="4" fontId="115" fillId="19" borderId="0" xfId="0" applyNumberFormat="1" applyFont="1" applyFill="1" applyBorder="1" applyAlignment="1">
      <alignment horizontal="center"/>
    </xf>
    <xf numFmtId="0" fontId="18" fillId="53" borderId="0" xfId="0" applyFont="1" applyFill="1" applyBorder="1" applyAlignment="1">
      <alignment horizontal="left"/>
    </xf>
    <xf numFmtId="4" fontId="22" fillId="53" borderId="0" xfId="0" applyNumberFormat="1" applyFont="1" applyFill="1" applyBorder="1" applyAlignment="1">
      <alignment/>
    </xf>
    <xf numFmtId="0" fontId="22" fillId="53" borderId="66" xfId="0" applyFont="1" applyFill="1" applyBorder="1" applyAlignment="1">
      <alignment/>
    </xf>
    <xf numFmtId="4" fontId="126" fillId="53" borderId="66" xfId="0" applyNumberFormat="1" applyFont="1" applyFill="1" applyBorder="1" applyAlignment="1">
      <alignment/>
    </xf>
    <xf numFmtId="4" fontId="144" fillId="53" borderId="16" xfId="0" applyNumberFormat="1" applyFont="1" applyFill="1" applyBorder="1" applyAlignment="1">
      <alignment/>
    </xf>
    <xf numFmtId="4" fontId="127" fillId="53" borderId="16" xfId="0" applyNumberFormat="1" applyFont="1" applyFill="1" applyBorder="1" applyAlignment="1">
      <alignment/>
    </xf>
    <xf numFmtId="4" fontId="126" fillId="53" borderId="16" xfId="0" applyNumberFormat="1" applyFont="1" applyFill="1" applyBorder="1" applyAlignment="1">
      <alignment/>
    </xf>
    <xf numFmtId="0" fontId="127" fillId="53" borderId="0" xfId="0" applyFont="1" applyFill="1" applyBorder="1" applyAlignment="1">
      <alignment/>
    </xf>
    <xf numFmtId="4" fontId="127" fillId="53" borderId="0" xfId="0" applyNumberFormat="1" applyFont="1" applyFill="1" applyBorder="1" applyAlignment="1">
      <alignment/>
    </xf>
    <xf numFmtId="4" fontId="125" fillId="53" borderId="0" xfId="0" applyNumberFormat="1" applyFont="1" applyFill="1" applyBorder="1" applyAlignment="1">
      <alignment horizontal="center"/>
    </xf>
    <xf numFmtId="0" fontId="125" fillId="53" borderId="0" xfId="0" applyFont="1" applyFill="1" applyBorder="1" applyAlignment="1">
      <alignment/>
    </xf>
    <xf numFmtId="0" fontId="153" fillId="6" borderId="10" xfId="0" applyFont="1" applyFill="1" applyBorder="1" applyAlignment="1">
      <alignment horizontal="center"/>
    </xf>
    <xf numFmtId="0" fontId="115" fillId="6" borderId="10" xfId="0" applyFont="1" applyFill="1" applyBorder="1" applyAlignment="1">
      <alignment wrapText="1"/>
    </xf>
    <xf numFmtId="0" fontId="115" fillId="6" borderId="10" xfId="0" applyFont="1" applyFill="1" applyBorder="1" applyAlignment="1">
      <alignment horizontal="center" wrapText="1"/>
    </xf>
    <xf numFmtId="0" fontId="22" fillId="53" borderId="0" xfId="0" applyFont="1" applyFill="1" applyBorder="1" applyAlignment="1">
      <alignment horizontal="center"/>
    </xf>
    <xf numFmtId="4" fontId="127" fillId="53" borderId="0" xfId="0" applyNumberFormat="1" applyFont="1" applyFill="1" applyBorder="1" applyAlignment="1">
      <alignment horizontal="center" vertical="center"/>
    </xf>
    <xf numFmtId="0" fontId="127" fillId="53" borderId="0" xfId="0" applyFont="1" applyFill="1" applyBorder="1" applyAlignment="1">
      <alignment horizontal="center" vertical="center"/>
    </xf>
    <xf numFmtId="0" fontId="126" fillId="53" borderId="0" xfId="0" applyFont="1" applyFill="1" applyBorder="1" applyAlignment="1">
      <alignment horizontal="center" vertical="center"/>
    </xf>
    <xf numFmtId="4" fontId="152" fillId="53" borderId="0" xfId="0" applyNumberFormat="1" applyFont="1" applyFill="1" applyBorder="1" applyAlignment="1">
      <alignment horizontal="center" vertical="center"/>
    </xf>
    <xf numFmtId="0" fontId="152" fillId="53" borderId="0" xfId="0" applyFont="1" applyFill="1" applyBorder="1" applyAlignment="1">
      <alignment horizontal="center" vertical="center"/>
    </xf>
    <xf numFmtId="0" fontId="118" fillId="53" borderId="67" xfId="0" applyFont="1" applyFill="1" applyBorder="1" applyAlignment="1">
      <alignment horizontal="center"/>
    </xf>
    <xf numFmtId="4" fontId="0" fillId="53" borderId="0" xfId="0" applyNumberFormat="1" applyFill="1" applyBorder="1" applyAlignment="1">
      <alignment/>
    </xf>
    <xf numFmtId="0" fontId="125" fillId="19" borderId="14" xfId="0" applyFont="1" applyFill="1" applyBorder="1" applyAlignment="1">
      <alignment/>
    </xf>
    <xf numFmtId="2" fontId="34" fillId="9" borderId="10" xfId="0" applyNumberFormat="1" applyFont="1" applyFill="1" applyBorder="1" applyAlignment="1">
      <alignment horizontal="center" vertical="center"/>
    </xf>
    <xf numFmtId="2" fontId="127" fillId="0" borderId="10" xfId="0" applyNumberFormat="1" applyFont="1" applyBorder="1" applyAlignment="1">
      <alignment horizontal="center" vertical="center"/>
    </xf>
    <xf numFmtId="2" fontId="127" fillId="9" borderId="10" xfId="0" applyNumberFormat="1" applyFont="1" applyFill="1" applyBorder="1" applyAlignment="1">
      <alignment horizontal="center" vertical="center"/>
    </xf>
    <xf numFmtId="2" fontId="57" fillId="9" borderId="13" xfId="0" applyNumberFormat="1" applyFont="1" applyFill="1" applyBorder="1" applyAlignment="1">
      <alignment/>
    </xf>
    <xf numFmtId="2" fontId="0" fillId="9" borderId="10" xfId="0" applyNumberFormat="1" applyFill="1" applyBorder="1" applyAlignment="1">
      <alignment/>
    </xf>
    <xf numFmtId="0" fontId="36" fillId="9" borderId="14" xfId="0" applyFont="1" applyFill="1" applyBorder="1" applyAlignment="1">
      <alignment horizontal="left"/>
    </xf>
    <xf numFmtId="4" fontId="142" fillId="0" borderId="20" xfId="0" applyNumberFormat="1" applyFont="1" applyBorder="1" applyAlignment="1">
      <alignment/>
    </xf>
    <xf numFmtId="4" fontId="154" fillId="14" borderId="35" xfId="0" applyNumberFormat="1" applyFont="1" applyFill="1" applyBorder="1" applyAlignment="1">
      <alignment/>
    </xf>
    <xf numFmtId="2" fontId="155" fillId="53" borderId="19" xfId="0" applyNumberFormat="1" applyFont="1" applyFill="1" applyBorder="1" applyAlignment="1">
      <alignment/>
    </xf>
    <xf numFmtId="0" fontId="125" fillId="0" borderId="0" xfId="0" applyFont="1" applyBorder="1" applyAlignment="1">
      <alignment/>
    </xf>
    <xf numFmtId="0" fontId="126" fillId="0" borderId="0" xfId="0" applyFont="1" applyBorder="1" applyAlignment="1">
      <alignment/>
    </xf>
    <xf numFmtId="0" fontId="31" fillId="53" borderId="54" xfId="0" applyFont="1" applyFill="1" applyBorder="1" applyAlignment="1">
      <alignment/>
    </xf>
    <xf numFmtId="4" fontId="11" fillId="53" borderId="30" xfId="0" applyNumberFormat="1" applyFont="1" applyFill="1" applyBorder="1" applyAlignment="1">
      <alignment/>
    </xf>
    <xf numFmtId="0" fontId="11" fillId="53" borderId="22" xfId="0" applyFont="1" applyFill="1" applyBorder="1" applyAlignment="1">
      <alignment/>
    </xf>
    <xf numFmtId="0" fontId="11" fillId="53" borderId="66" xfId="0" applyFont="1" applyFill="1" applyBorder="1" applyAlignment="1">
      <alignment/>
    </xf>
    <xf numFmtId="4" fontId="0" fillId="53" borderId="66" xfId="0" applyNumberFormat="1" applyFont="1" applyFill="1" applyBorder="1" applyAlignment="1">
      <alignment/>
    </xf>
    <xf numFmtId="4" fontId="117" fillId="53" borderId="12" xfId="0" applyNumberFormat="1" applyFont="1" applyFill="1" applyBorder="1" applyAlignment="1">
      <alignment horizontal="center"/>
    </xf>
    <xf numFmtId="0" fontId="0" fillId="53" borderId="66" xfId="0" applyFont="1" applyFill="1" applyBorder="1" applyAlignment="1">
      <alignment/>
    </xf>
    <xf numFmtId="0" fontId="0" fillId="53" borderId="12" xfId="0" applyFont="1" applyFill="1" applyBorder="1" applyAlignment="1">
      <alignment/>
    </xf>
    <xf numFmtId="0" fontId="0" fillId="53" borderId="16" xfId="0" applyFill="1" applyBorder="1" applyAlignment="1">
      <alignment/>
    </xf>
    <xf numFmtId="4" fontId="113" fillId="53" borderId="16" xfId="0" applyNumberFormat="1" applyFont="1" applyFill="1" applyBorder="1" applyAlignment="1">
      <alignment/>
    </xf>
    <xf numFmtId="0" fontId="122" fillId="53" borderId="16" xfId="0" applyFont="1" applyFill="1" applyBorder="1" applyAlignment="1">
      <alignment/>
    </xf>
    <xf numFmtId="0" fontId="146" fillId="53" borderId="16" xfId="0" applyFont="1" applyFill="1" applyBorder="1" applyAlignment="1">
      <alignment/>
    </xf>
    <xf numFmtId="4" fontId="147" fillId="53" borderId="0" xfId="0" applyNumberFormat="1" applyFont="1" applyFill="1" applyBorder="1" applyAlignment="1">
      <alignment/>
    </xf>
    <xf numFmtId="0" fontId="23" fillId="53" borderId="14" xfId="0" applyFont="1" applyFill="1" applyBorder="1" applyAlignment="1">
      <alignment/>
    </xf>
    <xf numFmtId="4" fontId="22" fillId="53" borderId="14" xfId="0" applyNumberFormat="1" applyFont="1" applyFill="1" applyBorder="1" applyAlignment="1">
      <alignment/>
    </xf>
    <xf numFmtId="4" fontId="22" fillId="53" borderId="25" xfId="0" applyNumberFormat="1" applyFont="1" applyFill="1" applyBorder="1" applyAlignment="1">
      <alignment/>
    </xf>
    <xf numFmtId="4" fontId="22" fillId="53" borderId="13" xfId="0" applyNumberFormat="1" applyFont="1" applyFill="1" applyBorder="1" applyAlignment="1">
      <alignment/>
    </xf>
    <xf numFmtId="0" fontId="22" fillId="53" borderId="13" xfId="0" applyFont="1" applyFill="1" applyBorder="1" applyAlignment="1">
      <alignment/>
    </xf>
    <xf numFmtId="4" fontId="126" fillId="53" borderId="11" xfId="0" applyNumberFormat="1" applyFont="1" applyFill="1" applyBorder="1" applyAlignment="1">
      <alignment/>
    </xf>
    <xf numFmtId="4" fontId="126" fillId="53" borderId="14" xfId="0" applyNumberFormat="1" applyFont="1" applyFill="1" applyBorder="1" applyAlignment="1">
      <alignment/>
    </xf>
    <xf numFmtId="0" fontId="22" fillId="53" borderId="25" xfId="0" applyFont="1" applyFill="1" applyBorder="1" applyAlignment="1">
      <alignment/>
    </xf>
    <xf numFmtId="0" fontId="125" fillId="53" borderId="13" xfId="0" applyFont="1" applyFill="1" applyBorder="1" applyAlignment="1">
      <alignment/>
    </xf>
    <xf numFmtId="4" fontId="125" fillId="53" borderId="10" xfId="0" applyNumberFormat="1" applyFont="1" applyFill="1" applyBorder="1" applyAlignment="1">
      <alignment/>
    </xf>
    <xf numFmtId="4" fontId="23" fillId="53" borderId="14" xfId="0" applyNumberFormat="1" applyFont="1" applyFill="1" applyBorder="1" applyAlignment="1">
      <alignment/>
    </xf>
    <xf numFmtId="0" fontId="126" fillId="53" borderId="10" xfId="0" applyFont="1" applyFill="1" applyBorder="1" applyAlignment="1">
      <alignment/>
    </xf>
    <xf numFmtId="0" fontId="126" fillId="53" borderId="25" xfId="0" applyFont="1" applyFill="1" applyBorder="1" applyAlignment="1">
      <alignment/>
    </xf>
    <xf numFmtId="4" fontId="126" fillId="53" borderId="13" xfId="0" applyNumberFormat="1" applyFont="1" applyFill="1" applyBorder="1" applyAlignment="1">
      <alignment/>
    </xf>
    <xf numFmtId="4" fontId="23" fillId="53" borderId="13" xfId="0" applyNumberFormat="1" applyFont="1" applyFill="1" applyBorder="1" applyAlignment="1">
      <alignment/>
    </xf>
    <xf numFmtId="4" fontId="0" fillId="53" borderId="0" xfId="0" applyNumberFormat="1" applyFill="1" applyAlignment="1">
      <alignment/>
    </xf>
    <xf numFmtId="0" fontId="22" fillId="53" borderId="0" xfId="0" applyFont="1" applyFill="1" applyBorder="1" applyAlignment="1">
      <alignment/>
    </xf>
    <xf numFmtId="4" fontId="22" fillId="53" borderId="15" xfId="0" applyNumberFormat="1" applyFont="1" applyFill="1" applyBorder="1" applyAlignment="1">
      <alignment/>
    </xf>
    <xf numFmtId="4" fontId="23" fillId="53" borderId="25" xfId="0" applyNumberFormat="1" applyFont="1" applyFill="1" applyBorder="1" applyAlignment="1">
      <alignment/>
    </xf>
    <xf numFmtId="0" fontId="23" fillId="53" borderId="25" xfId="0" applyFont="1" applyFill="1" applyBorder="1" applyAlignment="1">
      <alignment/>
    </xf>
    <xf numFmtId="0" fontId="126" fillId="53" borderId="13" xfId="0" applyFont="1" applyFill="1" applyBorder="1" applyAlignment="1">
      <alignment/>
    </xf>
    <xf numFmtId="0" fontId="23" fillId="53" borderId="13" xfId="0" applyFont="1" applyFill="1" applyBorder="1" applyAlignment="1">
      <alignment/>
    </xf>
    <xf numFmtId="0" fontId="126" fillId="53" borderId="11" xfId="0" applyFont="1" applyFill="1" applyBorder="1" applyAlignment="1">
      <alignment/>
    </xf>
    <xf numFmtId="4" fontId="0" fillId="53" borderId="16" xfId="0" applyNumberFormat="1" applyFill="1" applyBorder="1" applyAlignment="1">
      <alignment/>
    </xf>
    <xf numFmtId="0" fontId="133" fillId="53" borderId="0" xfId="0" applyFont="1" applyFill="1" applyBorder="1" applyAlignment="1">
      <alignment/>
    </xf>
    <xf numFmtId="4" fontId="117" fillId="53" borderId="0" xfId="0" applyNumberFormat="1" applyFont="1" applyFill="1" applyBorder="1" applyAlignment="1">
      <alignment/>
    </xf>
    <xf numFmtId="4" fontId="125" fillId="53" borderId="0" xfId="0" applyNumberFormat="1" applyFont="1" applyFill="1" applyBorder="1" applyAlignment="1">
      <alignment/>
    </xf>
    <xf numFmtId="0" fontId="117" fillId="53" borderId="0" xfId="0" applyFont="1" applyFill="1" applyBorder="1" applyAlignment="1">
      <alignment/>
    </xf>
    <xf numFmtId="0" fontId="150" fillId="53" borderId="0" xfId="0" applyFont="1" applyFill="1" applyBorder="1" applyAlignment="1">
      <alignment horizontal="center"/>
    </xf>
    <xf numFmtId="0" fontId="122" fillId="53" borderId="0" xfId="0" applyFont="1" applyFill="1" applyBorder="1" applyAlignment="1">
      <alignment/>
    </xf>
    <xf numFmtId="4" fontId="150" fillId="53" borderId="10" xfId="0" applyNumberFormat="1" applyFont="1" applyFill="1" applyBorder="1" applyAlignment="1">
      <alignment horizontal="center" vertical="center"/>
    </xf>
    <xf numFmtId="4" fontId="134" fillId="53" borderId="0" xfId="0" applyNumberFormat="1" applyFont="1" applyFill="1" applyBorder="1" applyAlignment="1">
      <alignment/>
    </xf>
    <xf numFmtId="4" fontId="144" fillId="53" borderId="0" xfId="0" applyNumberFormat="1" applyFont="1" applyFill="1" applyBorder="1" applyAlignment="1">
      <alignment/>
    </xf>
    <xf numFmtId="4" fontId="123" fillId="53" borderId="0" xfId="0" applyNumberFormat="1" applyFont="1" applyFill="1" applyBorder="1" applyAlignment="1">
      <alignment horizontal="center"/>
    </xf>
    <xf numFmtId="4" fontId="128" fillId="53" borderId="0" xfId="0" applyNumberFormat="1" applyFont="1" applyFill="1" applyBorder="1" applyAlignment="1">
      <alignment horizontal="center"/>
    </xf>
    <xf numFmtId="4" fontId="21" fillId="53" borderId="0" xfId="0" applyNumberFormat="1" applyFont="1" applyFill="1" applyBorder="1" applyAlignment="1">
      <alignment horizontal="center"/>
    </xf>
    <xf numFmtId="0" fontId="135" fillId="53" borderId="0" xfId="0" applyFont="1" applyFill="1" applyBorder="1" applyAlignment="1">
      <alignment/>
    </xf>
    <xf numFmtId="4" fontId="150" fillId="53" borderId="0" xfId="0" applyNumberFormat="1" applyFont="1" applyFill="1" applyBorder="1" applyAlignment="1">
      <alignment horizontal="center" vertical="center"/>
    </xf>
    <xf numFmtId="0" fontId="40" fillId="53" borderId="0" xfId="0" applyFont="1" applyFill="1" applyBorder="1" applyAlignment="1">
      <alignment/>
    </xf>
    <xf numFmtId="4" fontId="118" fillId="53" borderId="10" xfId="0" applyNumberFormat="1" applyFont="1" applyFill="1" applyBorder="1" applyAlignment="1">
      <alignment horizontal="center"/>
    </xf>
    <xf numFmtId="4" fontId="151" fillId="53" borderId="0" xfId="0" applyNumberFormat="1" applyFont="1" applyFill="1" applyAlignment="1">
      <alignment/>
    </xf>
    <xf numFmtId="0" fontId="11" fillId="6" borderId="46" xfId="0" applyFont="1" applyFill="1" applyBorder="1" applyAlignment="1">
      <alignment horizontal="center" vertical="center" wrapText="1"/>
    </xf>
    <xf numFmtId="4" fontId="23" fillId="6" borderId="10" xfId="0" applyNumberFormat="1" applyFont="1" applyFill="1" applyBorder="1" applyAlignment="1">
      <alignment horizontal="center" vertical="center" wrapText="1"/>
    </xf>
    <xf numFmtId="2" fontId="149" fillId="0" borderId="25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115" fillId="14" borderId="10" xfId="0" applyNumberFormat="1" applyFont="1" applyFill="1" applyBorder="1" applyAlignment="1">
      <alignment/>
    </xf>
    <xf numFmtId="4" fontId="6" fillId="41" borderId="10" xfId="0" applyNumberFormat="1" applyFont="1" applyFill="1" applyBorder="1" applyAlignment="1">
      <alignment/>
    </xf>
    <xf numFmtId="4" fontId="106" fillId="41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center" vertical="center"/>
    </xf>
    <xf numFmtId="2" fontId="57" fillId="9" borderId="25" xfId="0" applyNumberFormat="1" applyFont="1" applyFill="1" applyBorder="1" applyAlignment="1">
      <alignment horizontal="center" vertical="center"/>
    </xf>
    <xf numFmtId="0" fontId="152" fillId="0" borderId="10" xfId="0" applyFont="1" applyBorder="1" applyAlignment="1">
      <alignment horizontal="center" vertical="center" wrapText="1"/>
    </xf>
    <xf numFmtId="2" fontId="57" fillId="53" borderId="25" xfId="0" applyNumberFormat="1" applyFont="1" applyFill="1" applyBorder="1" applyAlignment="1">
      <alignment horizontal="center" vertical="center"/>
    </xf>
    <xf numFmtId="0" fontId="0" fillId="43" borderId="0" xfId="0" applyFill="1" applyAlignment="1">
      <alignment/>
    </xf>
    <xf numFmtId="49" fontId="27" fillId="43" borderId="10" xfId="0" applyNumberFormat="1" applyFont="1" applyFill="1" applyBorder="1" applyAlignment="1">
      <alignment horizontal="center" vertical="center"/>
    </xf>
    <xf numFmtId="0" fontId="0" fillId="43" borderId="10" xfId="0" applyFill="1" applyBorder="1" applyAlignment="1">
      <alignment/>
    </xf>
    <xf numFmtId="2" fontId="0" fillId="43" borderId="10" xfId="0" applyNumberFormat="1" applyFill="1" applyBorder="1" applyAlignment="1">
      <alignment horizontal="center" vertical="center"/>
    </xf>
    <xf numFmtId="2" fontId="0" fillId="43" borderId="10" xfId="0" applyNumberFormat="1" applyFill="1" applyBorder="1" applyAlignment="1">
      <alignment/>
    </xf>
    <xf numFmtId="2" fontId="0" fillId="41" borderId="10" xfId="0" applyNumberFormat="1" applyFill="1" applyBorder="1" applyAlignment="1">
      <alignment horizontal="center" vertical="center"/>
    </xf>
    <xf numFmtId="0" fontId="14" fillId="38" borderId="16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/>
    </xf>
    <xf numFmtId="0" fontId="40" fillId="38" borderId="10" xfId="0" applyFont="1" applyFill="1" applyBorder="1" applyAlignment="1">
      <alignment horizontal="center" vertical="center"/>
    </xf>
    <xf numFmtId="4" fontId="22" fillId="38" borderId="10" xfId="0" applyNumberFormat="1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/>
    </xf>
    <xf numFmtId="2" fontId="23" fillId="6" borderId="16" xfId="0" applyNumberFormat="1" applyFont="1" applyFill="1" applyBorder="1" applyAlignment="1">
      <alignment horizontal="right" vertical="center" wrapText="1"/>
    </xf>
    <xf numFmtId="2" fontId="126" fillId="6" borderId="10" xfId="0" applyNumberFormat="1" applyFont="1" applyFill="1" applyBorder="1" applyAlignment="1">
      <alignment horizontal="right"/>
    </xf>
    <xf numFmtId="2" fontId="126" fillId="6" borderId="14" xfId="0" applyNumberFormat="1" applyFont="1" applyFill="1" applyBorder="1" applyAlignment="1">
      <alignment horizontal="right"/>
    </xf>
    <xf numFmtId="2" fontId="23" fillId="61" borderId="10" xfId="0" applyNumberFormat="1" applyFont="1" applyFill="1" applyBorder="1" applyAlignment="1">
      <alignment horizontal="right"/>
    </xf>
    <xf numFmtId="2" fontId="126" fillId="61" borderId="10" xfId="0" applyNumberFormat="1" applyFont="1" applyFill="1" applyBorder="1" applyAlignment="1">
      <alignment horizontal="right"/>
    </xf>
    <xf numFmtId="2" fontId="126" fillId="60" borderId="10" xfId="0" applyNumberFormat="1" applyFont="1" applyFill="1" applyBorder="1" applyAlignment="1">
      <alignment horizontal="right"/>
    </xf>
    <xf numFmtId="4" fontId="23" fillId="6" borderId="16" xfId="0" applyNumberFormat="1" applyFont="1" applyFill="1" applyBorder="1" applyAlignment="1">
      <alignment vertical="center" wrapText="1"/>
    </xf>
    <xf numFmtId="0" fontId="106" fillId="0" borderId="10" xfId="0" applyFont="1" applyBorder="1" applyAlignment="1">
      <alignment/>
    </xf>
    <xf numFmtId="4" fontId="106" fillId="0" borderId="10" xfId="0" applyNumberFormat="1" applyFont="1" applyBorder="1" applyAlignment="1">
      <alignment/>
    </xf>
    <xf numFmtId="4" fontId="14" fillId="38" borderId="10" xfId="0" applyNumberFormat="1" applyFont="1" applyFill="1" applyBorder="1" applyAlignment="1">
      <alignment/>
    </xf>
    <xf numFmtId="0" fontId="16" fillId="44" borderId="22" xfId="0" applyFont="1" applyFill="1" applyBorder="1" applyAlignment="1">
      <alignment horizontal="center" vertical="center" wrapText="1"/>
    </xf>
    <xf numFmtId="0" fontId="16" fillId="46" borderId="12" xfId="0" applyFont="1" applyFill="1" applyBorder="1" applyAlignment="1">
      <alignment horizontal="center" vertical="center" wrapText="1"/>
    </xf>
    <xf numFmtId="4" fontId="144" fillId="53" borderId="14" xfId="0" applyNumberFormat="1" applyFont="1" applyFill="1" applyBorder="1" applyAlignment="1">
      <alignment/>
    </xf>
    <xf numFmtId="4" fontId="134" fillId="53" borderId="10" xfId="0" applyNumberFormat="1" applyFont="1" applyFill="1" applyBorder="1" applyAlignment="1">
      <alignment/>
    </xf>
    <xf numFmtId="0" fontId="144" fillId="53" borderId="10" xfId="0" applyFont="1" applyFill="1" applyBorder="1" applyAlignment="1">
      <alignment horizontal="center" vertical="center"/>
    </xf>
    <xf numFmtId="4" fontId="115" fillId="53" borderId="12" xfId="0" applyNumberFormat="1" applyFont="1" applyFill="1" applyBorder="1" applyAlignment="1">
      <alignment/>
    </xf>
    <xf numFmtId="0" fontId="156" fillId="41" borderId="16" xfId="0" applyFont="1" applyFill="1" applyBorder="1" applyAlignment="1">
      <alignment horizontal="right" vertical="center" wrapText="1"/>
    </xf>
    <xf numFmtId="0" fontId="156" fillId="41" borderId="10" xfId="0" applyFont="1" applyFill="1" applyBorder="1" applyAlignment="1">
      <alignment horizontal="right" vertical="center" wrapText="1"/>
    </xf>
    <xf numFmtId="0" fontId="127" fillId="53" borderId="54" xfId="0" applyFont="1" applyFill="1" applyBorder="1" applyAlignment="1">
      <alignment/>
    </xf>
    <xf numFmtId="4" fontId="144" fillId="53" borderId="30" xfId="0" applyNumberFormat="1" applyFont="1" applyFill="1" applyBorder="1" applyAlignment="1">
      <alignment/>
    </xf>
    <xf numFmtId="0" fontId="144" fillId="53" borderId="30" xfId="0" applyFont="1" applyFill="1" applyBorder="1" applyAlignment="1">
      <alignment/>
    </xf>
    <xf numFmtId="0" fontId="16" fillId="46" borderId="32" xfId="0" applyFont="1" applyFill="1" applyBorder="1" applyAlignment="1">
      <alignment vertical="center" wrapText="1"/>
    </xf>
    <xf numFmtId="0" fontId="16" fillId="46" borderId="19" xfId="0" applyFont="1" applyFill="1" applyBorder="1" applyAlignment="1">
      <alignment horizontal="center" vertical="center" wrapText="1"/>
    </xf>
    <xf numFmtId="0" fontId="153" fillId="6" borderId="11" xfId="0" applyFont="1" applyFill="1" applyBorder="1" applyAlignment="1">
      <alignment horizontal="center"/>
    </xf>
    <xf numFmtId="0" fontId="126" fillId="53" borderId="30" xfId="0" applyFont="1" applyFill="1" applyBorder="1" applyAlignment="1">
      <alignment/>
    </xf>
    <xf numFmtId="0" fontId="127" fillId="53" borderId="30" xfId="0" applyFont="1" applyFill="1" applyBorder="1" applyAlignment="1">
      <alignment/>
    </xf>
    <xf numFmtId="4" fontId="126" fillId="53" borderId="62" xfId="0" applyNumberFormat="1" applyFont="1" applyFill="1" applyBorder="1" applyAlignment="1">
      <alignment/>
    </xf>
    <xf numFmtId="0" fontId="16" fillId="44" borderId="19" xfId="0" applyFont="1" applyFill="1" applyBorder="1" applyAlignment="1">
      <alignment horizontal="center" vertical="center" wrapText="1"/>
    </xf>
    <xf numFmtId="4" fontId="11" fillId="53" borderId="0" xfId="0" applyNumberFormat="1" applyFont="1" applyFill="1" applyBorder="1" applyAlignment="1">
      <alignment/>
    </xf>
    <xf numFmtId="4" fontId="126" fillId="53" borderId="54" xfId="0" applyNumberFormat="1" applyFont="1" applyFill="1" applyBorder="1" applyAlignment="1">
      <alignment/>
    </xf>
    <xf numFmtId="2" fontId="22" fillId="53" borderId="0" xfId="0" applyNumberFormat="1" applyFont="1" applyFill="1" applyBorder="1" applyAlignment="1">
      <alignment horizontal="center" vertical="center"/>
    </xf>
    <xf numFmtId="0" fontId="16" fillId="6" borderId="35" xfId="0" applyFont="1" applyFill="1" applyBorder="1" applyAlignment="1">
      <alignment vertical="center" wrapText="1"/>
    </xf>
    <xf numFmtId="4" fontId="147" fillId="66" borderId="10" xfId="0" applyNumberFormat="1" applyFont="1" applyFill="1" applyBorder="1" applyAlignment="1">
      <alignment/>
    </xf>
    <xf numFmtId="4" fontId="23" fillId="66" borderId="10" xfId="0" applyNumberFormat="1" applyFont="1" applyFill="1" applyBorder="1" applyAlignment="1">
      <alignment horizontal="center" vertical="center"/>
    </xf>
    <xf numFmtId="4" fontId="123" fillId="66" borderId="10" xfId="0" applyNumberFormat="1" applyFont="1" applyFill="1" applyBorder="1" applyAlignment="1">
      <alignment horizontal="center" vertical="center"/>
    </xf>
    <xf numFmtId="4" fontId="115" fillId="66" borderId="16" xfId="0" applyNumberFormat="1" applyFont="1" applyFill="1" applyBorder="1" applyAlignment="1">
      <alignment/>
    </xf>
    <xf numFmtId="4" fontId="126" fillId="66" borderId="25" xfId="0" applyNumberFormat="1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0" fontId="36" fillId="3" borderId="64" xfId="0" applyFont="1" applyFill="1" applyBorder="1" applyAlignment="1">
      <alignment/>
    </xf>
    <xf numFmtId="4" fontId="154" fillId="14" borderId="31" xfId="0" applyNumberFormat="1" applyFont="1" applyFill="1" applyBorder="1" applyAlignment="1">
      <alignment/>
    </xf>
    <xf numFmtId="192" fontId="137" fillId="53" borderId="68" xfId="0" applyNumberFormat="1" applyFont="1" applyFill="1" applyBorder="1" applyAlignment="1">
      <alignment/>
    </xf>
    <xf numFmtId="2" fontId="140" fillId="0" borderId="68" xfId="0" applyNumberFormat="1" applyFont="1" applyBorder="1" applyAlignment="1">
      <alignment/>
    </xf>
    <xf numFmtId="2" fontId="157" fillId="0" borderId="31" xfId="0" applyNumberFormat="1" applyFont="1" applyBorder="1" applyAlignment="1">
      <alignment/>
    </xf>
    <xf numFmtId="4" fontId="135" fillId="0" borderId="65" xfId="0" applyNumberFormat="1" applyFont="1" applyBorder="1" applyAlignment="1">
      <alignment/>
    </xf>
    <xf numFmtId="4" fontId="125" fillId="66" borderId="11" xfId="0" applyNumberFormat="1" applyFont="1" applyFill="1" applyBorder="1" applyAlignment="1">
      <alignment horizontal="center"/>
    </xf>
    <xf numFmtId="4" fontId="125" fillId="66" borderId="10" xfId="0" applyNumberFormat="1" applyFont="1" applyFill="1" applyBorder="1" applyAlignment="1">
      <alignment horizontal="center"/>
    </xf>
    <xf numFmtId="2" fontId="149" fillId="0" borderId="36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/>
    </xf>
    <xf numFmtId="2" fontId="113" fillId="0" borderId="10" xfId="0" applyNumberFormat="1" applyFont="1" applyBorder="1" applyAlignment="1">
      <alignment horizontal="center" vertical="center"/>
    </xf>
    <xf numFmtId="2" fontId="158" fillId="0" borderId="10" xfId="0" applyNumberFormat="1" applyFont="1" applyBorder="1" applyAlignment="1">
      <alignment horizontal="center" vertical="center"/>
    </xf>
    <xf numFmtId="49" fontId="159" fillId="45" borderId="14" xfId="0" applyNumberFormat="1" applyFont="1" applyFill="1" applyBorder="1" applyAlignment="1">
      <alignment horizontal="center" vertical="center" wrapText="1"/>
    </xf>
    <xf numFmtId="2" fontId="0" fillId="14" borderId="10" xfId="0" applyNumberFormat="1" applyFill="1" applyBorder="1" applyAlignment="1">
      <alignment horizontal="center" vertical="center"/>
    </xf>
    <xf numFmtId="4" fontId="160" fillId="41" borderId="16" xfId="0" applyNumberFormat="1" applyFont="1" applyFill="1" applyBorder="1" applyAlignment="1">
      <alignment/>
    </xf>
    <xf numFmtId="4" fontId="144" fillId="8" borderId="10" xfId="0" applyNumberFormat="1" applyFont="1" applyFill="1" applyBorder="1" applyAlignment="1">
      <alignment horizontal="center" vertical="center"/>
    </xf>
    <xf numFmtId="4" fontId="161" fillId="14" borderId="16" xfId="0" applyNumberFormat="1" applyFont="1" applyFill="1" applyBorder="1" applyAlignment="1">
      <alignment/>
    </xf>
    <xf numFmtId="0" fontId="152" fillId="0" borderId="25" xfId="0" applyFont="1" applyBorder="1" applyAlignment="1">
      <alignment horizontal="center" vertical="center" wrapText="1"/>
    </xf>
    <xf numFmtId="0" fontId="106" fillId="0" borderId="10" xfId="0" applyFont="1" applyBorder="1" applyAlignment="1">
      <alignment horizontal="center" vertical="center"/>
    </xf>
    <xf numFmtId="0" fontId="106" fillId="0" borderId="25" xfId="0" applyFont="1" applyBorder="1" applyAlignment="1">
      <alignment horizontal="center" vertical="center"/>
    </xf>
    <xf numFmtId="49" fontId="27" fillId="45" borderId="10" xfId="0" applyNumberFormat="1" applyFont="1" applyFill="1" applyBorder="1" applyAlignment="1">
      <alignment horizontal="center" vertical="center" wrapText="1"/>
    </xf>
    <xf numFmtId="2" fontId="57" fillId="66" borderId="10" xfId="0" applyNumberFormat="1" applyFont="1" applyFill="1" applyBorder="1" applyAlignment="1">
      <alignment horizontal="center" vertical="center"/>
    </xf>
    <xf numFmtId="2" fontId="0" fillId="66" borderId="10" xfId="0" applyNumberFormat="1" applyFill="1" applyBorder="1" applyAlignment="1">
      <alignment horizontal="center" vertical="center"/>
    </xf>
    <xf numFmtId="2" fontId="57" fillId="66" borderId="25" xfId="0" applyNumberFormat="1" applyFont="1" applyFill="1" applyBorder="1" applyAlignment="1">
      <alignment horizontal="center" vertical="center"/>
    </xf>
    <xf numFmtId="0" fontId="126" fillId="0" borderId="10" xfId="0" applyFont="1" applyBorder="1" applyAlignment="1">
      <alignment horizontal="center"/>
    </xf>
    <xf numFmtId="4" fontId="23" fillId="53" borderId="10" xfId="0" applyNumberFormat="1" applyFont="1" applyFill="1" applyBorder="1" applyAlignment="1">
      <alignment/>
    </xf>
    <xf numFmtId="0" fontId="23" fillId="53" borderId="10" xfId="0" applyFont="1" applyFill="1" applyBorder="1" applyAlignment="1">
      <alignment horizontal="center" vertical="center"/>
    </xf>
    <xf numFmtId="4" fontId="23" fillId="37" borderId="14" xfId="0" applyNumberFormat="1" applyFont="1" applyFill="1" applyBorder="1" applyAlignment="1">
      <alignment/>
    </xf>
    <xf numFmtId="0" fontId="144" fillId="33" borderId="10" xfId="0" applyFont="1" applyFill="1" applyBorder="1" applyAlignment="1">
      <alignment horizontal="right" vertical="center" wrapText="1"/>
    </xf>
    <xf numFmtId="4" fontId="115" fillId="70" borderId="0" xfId="0" applyNumberFormat="1" applyFont="1" applyFill="1" applyAlignment="1">
      <alignment horizontal="center" vertical="center"/>
    </xf>
    <xf numFmtId="0" fontId="125" fillId="62" borderId="10" xfId="0" applyFont="1" applyFill="1" applyBorder="1" applyAlignment="1">
      <alignment/>
    </xf>
    <xf numFmtId="2" fontId="0" fillId="66" borderId="10" xfId="0" applyNumberFormat="1" applyFont="1" applyFill="1" applyBorder="1" applyAlignment="1">
      <alignment horizontal="center" vertical="center"/>
    </xf>
    <xf numFmtId="0" fontId="22" fillId="53" borderId="10" xfId="0" applyFont="1" applyFill="1" applyBorder="1" applyAlignment="1">
      <alignment/>
    </xf>
    <xf numFmtId="0" fontId="117" fillId="53" borderId="10" xfId="0" applyFont="1" applyFill="1" applyBorder="1" applyAlignment="1">
      <alignment/>
    </xf>
    <xf numFmtId="4" fontId="40" fillId="53" borderId="10" xfId="0" applyNumberFormat="1" applyFont="1" applyFill="1" applyBorder="1" applyAlignment="1">
      <alignment/>
    </xf>
    <xf numFmtId="4" fontId="40" fillId="53" borderId="14" xfId="0" applyNumberFormat="1" applyFont="1" applyFill="1" applyBorder="1" applyAlignment="1">
      <alignment/>
    </xf>
    <xf numFmtId="4" fontId="14" fillId="53" borderId="10" xfId="0" applyNumberFormat="1" applyFont="1" applyFill="1" applyBorder="1" applyAlignment="1">
      <alignment/>
    </xf>
    <xf numFmtId="0" fontId="40" fillId="53" borderId="10" xfId="0" applyFont="1" applyFill="1" applyBorder="1" applyAlignment="1">
      <alignment horizontal="center" vertical="center"/>
    </xf>
    <xf numFmtId="4" fontId="115" fillId="60" borderId="10" xfId="0" applyNumberFormat="1" applyFont="1" applyFill="1" applyBorder="1" applyAlignment="1">
      <alignment/>
    </xf>
    <xf numFmtId="4" fontId="0" fillId="62" borderId="10" xfId="0" applyNumberFormat="1" applyFill="1" applyBorder="1" applyAlignment="1">
      <alignment horizontal="center"/>
    </xf>
    <xf numFmtId="4" fontId="143" fillId="0" borderId="19" xfId="0" applyNumberFormat="1" applyFont="1" applyBorder="1" applyAlignment="1">
      <alignment/>
    </xf>
    <xf numFmtId="0" fontId="0" fillId="53" borderId="0" xfId="0" applyFill="1" applyBorder="1" applyAlignment="1">
      <alignment horizontal="center"/>
    </xf>
    <xf numFmtId="4" fontId="57" fillId="68" borderId="10" xfId="0" applyNumberFormat="1" applyFont="1" applyFill="1" applyBorder="1" applyAlignment="1">
      <alignment/>
    </xf>
    <xf numFmtId="4" fontId="106" fillId="0" borderId="0" xfId="0" applyNumberFormat="1" applyFont="1" applyFill="1" applyBorder="1" applyAlignment="1">
      <alignment/>
    </xf>
    <xf numFmtId="0" fontId="0" fillId="38" borderId="34" xfId="0" applyFont="1" applyFill="1" applyBorder="1" applyAlignment="1">
      <alignment horizontal="center"/>
    </xf>
    <xf numFmtId="4" fontId="106" fillId="33" borderId="19" xfId="0" applyNumberFormat="1" applyFont="1" applyFill="1" applyBorder="1" applyAlignment="1">
      <alignment/>
    </xf>
    <xf numFmtId="4" fontId="6" fillId="4" borderId="19" xfId="0" applyNumberFormat="1" applyFont="1" applyFill="1" applyBorder="1" applyAlignment="1">
      <alignment/>
    </xf>
    <xf numFmtId="2" fontId="1" fillId="4" borderId="10" xfId="0" applyNumberFormat="1" applyFont="1" applyFill="1" applyBorder="1" applyAlignment="1">
      <alignment horizontal="right"/>
    </xf>
    <xf numFmtId="0" fontId="0" fillId="38" borderId="69" xfId="0" applyFont="1" applyFill="1" applyBorder="1" applyAlignment="1">
      <alignment horizontal="center"/>
    </xf>
    <xf numFmtId="4" fontId="115" fillId="14" borderId="16" xfId="0" applyNumberFormat="1" applyFont="1" applyFill="1" applyBorder="1" applyAlignment="1">
      <alignment/>
    </xf>
    <xf numFmtId="4" fontId="126" fillId="37" borderId="0" xfId="0" applyNumberFormat="1" applyFont="1" applyFill="1" applyBorder="1" applyAlignment="1">
      <alignment horizontal="center"/>
    </xf>
    <xf numFmtId="4" fontId="0" fillId="0" borderId="36" xfId="0" applyNumberFormat="1" applyBorder="1" applyAlignment="1">
      <alignment/>
    </xf>
    <xf numFmtId="0" fontId="0" fillId="0" borderId="19" xfId="0" applyBorder="1" applyAlignment="1">
      <alignment horizontal="center"/>
    </xf>
    <xf numFmtId="2" fontId="149" fillId="0" borderId="28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/>
    </xf>
    <xf numFmtId="4" fontId="0" fillId="0" borderId="28" xfId="0" applyNumberFormat="1" applyBorder="1" applyAlignment="1">
      <alignment/>
    </xf>
    <xf numFmtId="0" fontId="0" fillId="0" borderId="24" xfId="0" applyBorder="1" applyAlignment="1">
      <alignment horizontal="center"/>
    </xf>
    <xf numFmtId="4" fontId="149" fillId="0" borderId="14" xfId="0" applyNumberFormat="1" applyFont="1" applyBorder="1" applyAlignment="1">
      <alignment horizontal="center" vertical="center"/>
    </xf>
    <xf numFmtId="0" fontId="36" fillId="9" borderId="0" xfId="0" applyFont="1" applyFill="1" applyBorder="1" applyAlignment="1">
      <alignment horizontal="left"/>
    </xf>
    <xf numFmtId="0" fontId="36" fillId="9" borderId="25" xfId="0" applyFont="1" applyFill="1" applyBorder="1" applyAlignment="1">
      <alignment horizontal="left"/>
    </xf>
    <xf numFmtId="4" fontId="142" fillId="53" borderId="10" xfId="0" applyNumberFormat="1" applyFont="1" applyFill="1" applyBorder="1" applyAlignment="1">
      <alignment/>
    </xf>
    <xf numFmtId="2" fontId="140" fillId="0" borderId="10" xfId="0" applyNumberFormat="1" applyFont="1" applyBorder="1" applyAlignment="1">
      <alignment/>
    </xf>
    <xf numFmtId="4" fontId="122" fillId="53" borderId="10" xfId="0" applyNumberFormat="1" applyFont="1" applyFill="1" applyBorder="1" applyAlignment="1">
      <alignment/>
    </xf>
    <xf numFmtId="4" fontId="145" fillId="53" borderId="10" xfId="0" applyNumberFormat="1" applyFont="1" applyFill="1" applyBorder="1" applyAlignment="1">
      <alignment/>
    </xf>
    <xf numFmtId="4" fontId="122" fillId="53" borderId="14" xfId="0" applyNumberFormat="1" applyFont="1" applyFill="1" applyBorder="1" applyAlignment="1">
      <alignment/>
    </xf>
    <xf numFmtId="0" fontId="122" fillId="53" borderId="10" xfId="0" applyFont="1" applyFill="1" applyBorder="1" applyAlignment="1">
      <alignment horizontal="center" vertical="center"/>
    </xf>
    <xf numFmtId="2" fontId="0" fillId="71" borderId="10" xfId="0" applyNumberFormat="1" applyFill="1" applyBorder="1" applyAlignment="1">
      <alignment horizontal="center" vertical="center"/>
    </xf>
    <xf numFmtId="2" fontId="57" fillId="43" borderId="25" xfId="0" applyNumberFormat="1" applyFont="1" applyFill="1" applyBorder="1" applyAlignment="1">
      <alignment horizontal="center" vertical="center"/>
    </xf>
    <xf numFmtId="0" fontId="0" fillId="53" borderId="0" xfId="0" applyFill="1" applyBorder="1" applyAlignment="1">
      <alignment horizontal="center"/>
    </xf>
    <xf numFmtId="4" fontId="115" fillId="6" borderId="10" xfId="0" applyNumberFormat="1" applyFont="1" applyFill="1" applyBorder="1" applyAlignment="1">
      <alignment/>
    </xf>
    <xf numFmtId="0" fontId="156" fillId="6" borderId="16" xfId="0" applyFont="1" applyFill="1" applyBorder="1" applyAlignment="1">
      <alignment horizontal="right" vertical="center" wrapText="1"/>
    </xf>
    <xf numFmtId="4" fontId="124" fillId="58" borderId="10" xfId="0" applyNumberFormat="1" applyFont="1" applyFill="1" applyBorder="1" applyAlignment="1">
      <alignment/>
    </xf>
    <xf numFmtId="0" fontId="115" fillId="58" borderId="10" xfId="0" applyFont="1" applyFill="1" applyBorder="1" applyAlignment="1">
      <alignment/>
    </xf>
    <xf numFmtId="0" fontId="115" fillId="53" borderId="10" xfId="0" applyFont="1" applyFill="1" applyBorder="1" applyAlignment="1">
      <alignment horizontal="center" vertical="center"/>
    </xf>
    <xf numFmtId="4" fontId="156" fillId="53" borderId="10" xfId="0" applyNumberFormat="1" applyFont="1" applyFill="1" applyBorder="1" applyAlignment="1">
      <alignment/>
    </xf>
    <xf numFmtId="4" fontId="115" fillId="53" borderId="14" xfId="0" applyNumberFormat="1" applyFont="1" applyFill="1" applyBorder="1" applyAlignment="1">
      <alignment/>
    </xf>
    <xf numFmtId="4" fontId="117" fillId="60" borderId="10" xfId="0" applyNumberFormat="1" applyFont="1" applyFill="1" applyBorder="1" applyAlignment="1">
      <alignment horizontal="center" vertical="center"/>
    </xf>
    <xf numFmtId="4" fontId="0" fillId="40" borderId="30" xfId="0" applyNumberFormat="1" applyFill="1" applyBorder="1" applyAlignment="1">
      <alignment/>
    </xf>
    <xf numFmtId="2" fontId="1" fillId="4" borderId="30" xfId="0" applyNumberFormat="1" applyFont="1" applyFill="1" applyBorder="1" applyAlignment="1">
      <alignment horizontal="right"/>
    </xf>
    <xf numFmtId="4" fontId="0" fillId="41" borderId="30" xfId="0" applyNumberFormat="1" applyFill="1" applyBorder="1" applyAlignment="1">
      <alignment horizontal="center"/>
    </xf>
    <xf numFmtId="4" fontId="0" fillId="33" borderId="30" xfId="0" applyNumberFormat="1" applyFill="1" applyBorder="1" applyAlignment="1">
      <alignment/>
    </xf>
    <xf numFmtId="4" fontId="6" fillId="33" borderId="35" xfId="0" applyNumberFormat="1" applyFont="1" applyFill="1" applyBorder="1" applyAlignment="1">
      <alignment/>
    </xf>
    <xf numFmtId="4" fontId="6" fillId="34" borderId="19" xfId="0" applyNumberFormat="1" applyFont="1" applyFill="1" applyBorder="1" applyAlignment="1">
      <alignment/>
    </xf>
    <xf numFmtId="4" fontId="6" fillId="34" borderId="28" xfId="0" applyNumberFormat="1" applyFont="1" applyFill="1" applyBorder="1" applyAlignment="1">
      <alignment/>
    </xf>
    <xf numFmtId="0" fontId="0" fillId="53" borderId="0" xfId="0" applyFill="1" applyBorder="1" applyAlignment="1">
      <alignment horizontal="center"/>
    </xf>
    <xf numFmtId="0" fontId="40" fillId="42" borderId="16" xfId="0" applyFont="1" applyFill="1" applyBorder="1" applyAlignment="1">
      <alignment horizontal="center" vertical="center" wrapText="1"/>
    </xf>
    <xf numFmtId="4" fontId="115" fillId="42" borderId="10" xfId="0" applyNumberFormat="1" applyFont="1" applyFill="1" applyBorder="1" applyAlignment="1">
      <alignment horizontal="center"/>
    </xf>
    <xf numFmtId="4" fontId="40" fillId="42" borderId="10" xfId="0" applyNumberFormat="1" applyFont="1" applyFill="1" applyBorder="1" applyAlignment="1">
      <alignment horizontal="center"/>
    </xf>
    <xf numFmtId="4" fontId="115" fillId="37" borderId="10" xfId="0" applyNumberFormat="1" applyFont="1" applyFill="1" applyBorder="1" applyAlignment="1">
      <alignment horizontal="center"/>
    </xf>
    <xf numFmtId="4" fontId="40" fillId="37" borderId="10" xfId="0" applyNumberFormat="1" applyFont="1" applyFill="1" applyBorder="1" applyAlignment="1">
      <alignment horizontal="center"/>
    </xf>
    <xf numFmtId="0" fontId="122" fillId="53" borderId="10" xfId="0" applyFont="1" applyFill="1" applyBorder="1" applyAlignment="1">
      <alignment horizontal="center"/>
    </xf>
    <xf numFmtId="0" fontId="115" fillId="53" borderId="10" xfId="0" applyFont="1" applyFill="1" applyBorder="1" applyAlignment="1">
      <alignment/>
    </xf>
    <xf numFmtId="0" fontId="115" fillId="0" borderId="0" xfId="0" applyFont="1" applyFill="1" applyBorder="1" applyAlignment="1">
      <alignment/>
    </xf>
    <xf numFmtId="0" fontId="125" fillId="62" borderId="10" xfId="0" applyFont="1" applyFill="1" applyBorder="1" applyAlignment="1">
      <alignment horizontal="center" vertical="center"/>
    </xf>
    <xf numFmtId="0" fontId="117" fillId="59" borderId="10" xfId="0" applyFont="1" applyFill="1" applyBorder="1" applyAlignment="1">
      <alignment horizontal="center" vertical="center"/>
    </xf>
    <xf numFmtId="4" fontId="117" fillId="59" borderId="10" xfId="0" applyNumberFormat="1" applyFont="1" applyFill="1" applyBorder="1" applyAlignment="1">
      <alignment horizontal="center" vertical="center"/>
    </xf>
    <xf numFmtId="4" fontId="117" fillId="41" borderId="10" xfId="0" applyNumberFormat="1" applyFont="1" applyFill="1" applyBorder="1" applyAlignment="1">
      <alignment horizontal="center" vertical="center"/>
    </xf>
    <xf numFmtId="0" fontId="117" fillId="41" borderId="10" xfId="0" applyFont="1" applyFill="1" applyBorder="1" applyAlignment="1">
      <alignment horizontal="center" vertical="center"/>
    </xf>
    <xf numFmtId="0" fontId="35" fillId="59" borderId="10" xfId="0" applyFont="1" applyFill="1" applyBorder="1" applyAlignment="1">
      <alignment horizontal="center" vertical="center"/>
    </xf>
    <xf numFmtId="4" fontId="125" fillId="58" borderId="10" xfId="0" applyNumberFormat="1" applyFont="1" applyFill="1" applyBorder="1" applyAlignment="1">
      <alignment horizontal="center" vertical="center"/>
    </xf>
    <xf numFmtId="0" fontId="125" fillId="58" borderId="10" xfId="0" applyFont="1" applyFill="1" applyBorder="1" applyAlignment="1">
      <alignment horizontal="center" vertical="center"/>
    </xf>
    <xf numFmtId="4" fontId="125" fillId="0" borderId="10" xfId="0" applyNumberFormat="1" applyFont="1" applyBorder="1" applyAlignment="1">
      <alignment horizontal="center" vertical="center"/>
    </xf>
    <xf numFmtId="4" fontId="117" fillId="0" borderId="10" xfId="0" applyNumberFormat="1" applyFont="1" applyBorder="1" applyAlignment="1">
      <alignment horizontal="center" vertical="center"/>
    </xf>
    <xf numFmtId="2" fontId="117" fillId="0" borderId="10" xfId="0" applyNumberFormat="1" applyFont="1" applyBorder="1" applyAlignment="1">
      <alignment horizontal="center" vertical="center"/>
    </xf>
    <xf numFmtId="0" fontId="122" fillId="41" borderId="10" xfId="0" applyFont="1" applyFill="1" applyBorder="1" applyAlignment="1">
      <alignment horizontal="center" vertical="center" wrapText="1"/>
    </xf>
    <xf numFmtId="0" fontId="122" fillId="53" borderId="10" xfId="0" applyFont="1" applyFill="1" applyBorder="1" applyAlignment="1">
      <alignment/>
    </xf>
    <xf numFmtId="4" fontId="144" fillId="41" borderId="14" xfId="0" applyNumberFormat="1" applyFont="1" applyFill="1" applyBorder="1" applyAlignment="1">
      <alignment/>
    </xf>
    <xf numFmtId="0" fontId="125" fillId="0" borderId="10" xfId="0" applyFont="1" applyBorder="1" applyAlignment="1">
      <alignment horizontal="center" vertical="center"/>
    </xf>
    <xf numFmtId="2" fontId="162" fillId="0" borderId="10" xfId="0" applyNumberFormat="1" applyFont="1" applyBorder="1" applyAlignment="1">
      <alignment horizontal="center" vertical="center"/>
    </xf>
    <xf numFmtId="2" fontId="0" fillId="39" borderId="10" xfId="0" applyNumberFormat="1" applyFill="1" applyBorder="1" applyAlignment="1">
      <alignment horizontal="center" vertical="center"/>
    </xf>
    <xf numFmtId="0" fontId="106" fillId="0" borderId="10" xfId="0" applyFont="1" applyBorder="1" applyAlignment="1">
      <alignment horizontal="center"/>
    </xf>
    <xf numFmtId="0" fontId="124" fillId="6" borderId="16" xfId="0" applyFont="1" applyFill="1" applyBorder="1" applyAlignment="1">
      <alignment horizontal="right" vertical="center" wrapText="1"/>
    </xf>
    <xf numFmtId="4" fontId="150" fillId="6" borderId="10" xfId="0" applyNumberFormat="1" applyFont="1" applyFill="1" applyBorder="1" applyAlignment="1">
      <alignment/>
    </xf>
    <xf numFmtId="4" fontId="117" fillId="6" borderId="10" xfId="0" applyNumberFormat="1" applyFont="1" applyFill="1" applyBorder="1" applyAlignment="1">
      <alignment/>
    </xf>
    <xf numFmtId="4" fontId="150" fillId="6" borderId="14" xfId="0" applyNumberFormat="1" applyFont="1" applyFill="1" applyBorder="1" applyAlignment="1">
      <alignment/>
    </xf>
    <xf numFmtId="0" fontId="150" fillId="58" borderId="10" xfId="0" applyFont="1" applyFill="1" applyBorder="1" applyAlignment="1">
      <alignment/>
    </xf>
    <xf numFmtId="0" fontId="117" fillId="58" borderId="10" xfId="0" applyFont="1" applyFill="1" applyBorder="1" applyAlignment="1">
      <alignment/>
    </xf>
    <xf numFmtId="4" fontId="35" fillId="41" borderId="10" xfId="0" applyNumberFormat="1" applyFont="1" applyFill="1" applyBorder="1" applyAlignment="1">
      <alignment horizontal="center" vertical="center"/>
    </xf>
    <xf numFmtId="0" fontId="150" fillId="58" borderId="10" xfId="0" applyFont="1" applyFill="1" applyBorder="1" applyAlignment="1">
      <alignment horizontal="right" vertical="top"/>
    </xf>
    <xf numFmtId="0" fontId="150" fillId="53" borderId="10" xfId="0" applyFont="1" applyFill="1" applyBorder="1" applyAlignment="1">
      <alignment horizontal="right" vertical="top"/>
    </xf>
    <xf numFmtId="0" fontId="117" fillId="53" borderId="10" xfId="0" applyFont="1" applyFill="1" applyBorder="1" applyAlignment="1">
      <alignment horizontal="right" vertical="top"/>
    </xf>
    <xf numFmtId="4" fontId="22" fillId="41" borderId="10" xfId="0" applyNumberFormat="1" applyFont="1" applyFill="1" applyBorder="1" applyAlignment="1">
      <alignment vertical="center"/>
    </xf>
    <xf numFmtId="4" fontId="40" fillId="21" borderId="10" xfId="0" applyNumberFormat="1" applyFont="1" applyFill="1" applyBorder="1" applyAlignment="1">
      <alignment/>
    </xf>
    <xf numFmtId="4" fontId="40" fillId="21" borderId="14" xfId="0" applyNumberFormat="1" applyFont="1" applyFill="1" applyBorder="1" applyAlignment="1">
      <alignment/>
    </xf>
    <xf numFmtId="4" fontId="23" fillId="21" borderId="14" xfId="0" applyNumberFormat="1" applyFont="1" applyFill="1" applyBorder="1" applyAlignment="1">
      <alignment/>
    </xf>
    <xf numFmtId="4" fontId="125" fillId="67" borderId="10" xfId="0" applyNumberFormat="1" applyFont="1" applyFill="1" applyBorder="1" applyAlignment="1">
      <alignment horizontal="center"/>
    </xf>
    <xf numFmtId="4" fontId="117" fillId="67" borderId="10" xfId="0" applyNumberFormat="1" applyFont="1" applyFill="1" applyBorder="1" applyAlignment="1">
      <alignment horizontal="center"/>
    </xf>
    <xf numFmtId="0" fontId="22" fillId="40" borderId="10" xfId="0" applyFont="1" applyFill="1" applyBorder="1" applyAlignment="1">
      <alignment horizontal="center" vertical="center" wrapText="1"/>
    </xf>
    <xf numFmtId="0" fontId="152" fillId="0" borderId="10" xfId="0" applyFont="1" applyBorder="1" applyAlignment="1">
      <alignment/>
    </xf>
    <xf numFmtId="0" fontId="127" fillId="0" borderId="10" xfId="0" applyFont="1" applyBorder="1" applyAlignment="1">
      <alignment/>
    </xf>
    <xf numFmtId="49" fontId="127" fillId="0" borderId="10" xfId="0" applyNumberFormat="1" applyFont="1" applyBorder="1" applyAlignment="1">
      <alignment/>
    </xf>
    <xf numFmtId="0" fontId="127" fillId="0" borderId="10" xfId="0" applyFont="1" applyBorder="1" applyAlignment="1">
      <alignment horizontal="left"/>
    </xf>
    <xf numFmtId="2" fontId="127" fillId="0" borderId="10" xfId="0" applyNumberFormat="1" applyFont="1" applyBorder="1" applyAlignment="1">
      <alignment horizontal="left"/>
    </xf>
    <xf numFmtId="49" fontId="127" fillId="0" borderId="10" xfId="0" applyNumberFormat="1" applyFont="1" applyBorder="1" applyAlignment="1">
      <alignment horizontal="center"/>
    </xf>
    <xf numFmtId="49" fontId="127" fillId="0" borderId="10" xfId="0" applyNumberFormat="1" applyFont="1" applyBorder="1" applyAlignment="1">
      <alignment horizontal="left"/>
    </xf>
    <xf numFmtId="4" fontId="117" fillId="41" borderId="10" xfId="0" applyNumberFormat="1" applyFont="1" applyFill="1" applyBorder="1" applyAlignment="1">
      <alignment/>
    </xf>
    <xf numFmtId="0" fontId="124" fillId="41" borderId="16" xfId="0" applyFont="1" applyFill="1" applyBorder="1" applyAlignment="1">
      <alignment horizontal="right" vertical="center" wrapText="1"/>
    </xf>
    <xf numFmtId="4" fontId="124" fillId="41" borderId="10" xfId="0" applyNumberFormat="1" applyFont="1" applyFill="1" applyBorder="1" applyAlignment="1">
      <alignment/>
    </xf>
    <xf numFmtId="0" fontId="117" fillId="41" borderId="10" xfId="0" applyFont="1" applyFill="1" applyBorder="1" applyAlignment="1">
      <alignment/>
    </xf>
    <xf numFmtId="4" fontId="145" fillId="41" borderId="10" xfId="0" applyNumberFormat="1" applyFont="1" applyFill="1" applyBorder="1" applyAlignment="1">
      <alignment/>
    </xf>
    <xf numFmtId="0" fontId="40" fillId="41" borderId="10" xfId="0" applyFont="1" applyFill="1" applyBorder="1" applyAlignment="1">
      <alignment horizontal="center" vertical="center"/>
    </xf>
    <xf numFmtId="0" fontId="40" fillId="53" borderId="10" xfId="0" applyFont="1" applyFill="1" applyBorder="1" applyAlignment="1">
      <alignment wrapText="1"/>
    </xf>
    <xf numFmtId="0" fontId="152" fillId="0" borderId="0" xfId="0" applyFont="1" applyAlignment="1">
      <alignment/>
    </xf>
    <xf numFmtId="49" fontId="127" fillId="0" borderId="0" xfId="0" applyNumberFormat="1" applyFont="1" applyAlignment="1">
      <alignment/>
    </xf>
    <xf numFmtId="0" fontId="127" fillId="0" borderId="0" xfId="0" applyFont="1" applyAlignment="1">
      <alignment horizontal="left"/>
    </xf>
    <xf numFmtId="2" fontId="127" fillId="0" borderId="0" xfId="0" applyNumberFormat="1" applyFont="1" applyAlignment="1">
      <alignment horizontal="left"/>
    </xf>
    <xf numFmtId="49" fontId="127" fillId="0" borderId="0" xfId="0" applyNumberFormat="1" applyFont="1" applyAlignment="1">
      <alignment horizontal="center"/>
    </xf>
    <xf numFmtId="49" fontId="127" fillId="0" borderId="0" xfId="0" applyNumberFormat="1" applyFont="1" applyAlignment="1">
      <alignment horizontal="left"/>
    </xf>
    <xf numFmtId="0" fontId="152" fillId="0" borderId="10" xfId="0" applyFont="1" applyBorder="1" applyAlignment="1">
      <alignment horizontal="center" vertical="center"/>
    </xf>
    <xf numFmtId="2" fontId="106" fillId="0" borderId="10" xfId="0" applyNumberFormat="1" applyFont="1" applyBorder="1" applyAlignment="1">
      <alignment horizontal="center" vertical="center"/>
    </xf>
    <xf numFmtId="0" fontId="152" fillId="0" borderId="0" xfId="0" applyFont="1" applyAlignment="1">
      <alignment/>
    </xf>
    <xf numFmtId="0" fontId="127" fillId="0" borderId="0" xfId="0" applyFont="1" applyAlignment="1">
      <alignment/>
    </xf>
    <xf numFmtId="49" fontId="127" fillId="0" borderId="0" xfId="0" applyNumberFormat="1" applyFont="1" applyAlignment="1">
      <alignment/>
    </xf>
    <xf numFmtId="49" fontId="127" fillId="0" borderId="0" xfId="0" applyNumberFormat="1" applyFont="1" applyAlignment="1">
      <alignment horizontal="left"/>
    </xf>
    <xf numFmtId="0" fontId="83" fillId="53" borderId="0" xfId="0" applyFont="1" applyFill="1" applyBorder="1" applyAlignment="1">
      <alignment horizontal="center" vertical="center" wrapText="1"/>
    </xf>
    <xf numFmtId="4" fontId="126" fillId="21" borderId="10" xfId="0" applyNumberFormat="1" applyFont="1" applyFill="1" applyBorder="1" applyAlignment="1">
      <alignment horizontal="center"/>
    </xf>
    <xf numFmtId="4" fontId="115" fillId="21" borderId="10" xfId="0" applyNumberFormat="1" applyFont="1" applyFill="1" applyBorder="1" applyAlignment="1">
      <alignment horizontal="center"/>
    </xf>
    <xf numFmtId="0" fontId="23" fillId="21" borderId="10" xfId="0" applyFont="1" applyFill="1" applyBorder="1" applyAlignment="1">
      <alignment horizontal="center" vertical="center" wrapText="1"/>
    </xf>
    <xf numFmtId="4" fontId="0" fillId="21" borderId="10" xfId="0" applyNumberFormat="1" applyFill="1" applyBorder="1" applyAlignment="1">
      <alignment/>
    </xf>
    <xf numFmtId="0" fontId="3" fillId="21" borderId="10" xfId="0" applyFont="1" applyFill="1" applyBorder="1" applyAlignment="1">
      <alignment horizontal="center" vertical="center" wrapText="1"/>
    </xf>
    <xf numFmtId="4" fontId="127" fillId="21" borderId="10" xfId="0" applyNumberFormat="1" applyFont="1" applyFill="1" applyBorder="1" applyAlignment="1">
      <alignment/>
    </xf>
    <xf numFmtId="0" fontId="23" fillId="15" borderId="16" xfId="0" applyFont="1" applyFill="1" applyBorder="1" applyAlignment="1">
      <alignment horizontal="center" vertical="center" wrapText="1"/>
    </xf>
    <xf numFmtId="4" fontId="25" fillId="15" borderId="10" xfId="0" applyNumberFormat="1" applyFont="1" applyFill="1" applyBorder="1" applyAlignment="1">
      <alignment horizontal="center"/>
    </xf>
    <xf numFmtId="4" fontId="122" fillId="21" borderId="10" xfId="0" applyNumberFormat="1" applyFont="1" applyFill="1" applyBorder="1" applyAlignment="1">
      <alignment/>
    </xf>
    <xf numFmtId="4" fontId="122" fillId="21" borderId="14" xfId="0" applyNumberFormat="1" applyFont="1" applyFill="1" applyBorder="1" applyAlignment="1">
      <alignment/>
    </xf>
    <xf numFmtId="4" fontId="145" fillId="21" borderId="10" xfId="0" applyNumberFormat="1" applyFont="1" applyFill="1" applyBorder="1" applyAlignment="1">
      <alignment/>
    </xf>
    <xf numFmtId="0" fontId="122" fillId="21" borderId="10" xfId="0" applyFont="1" applyFill="1" applyBorder="1" applyAlignment="1">
      <alignment horizontal="center" vertical="center"/>
    </xf>
    <xf numFmtId="4" fontId="144" fillId="21" borderId="10" xfId="0" applyNumberFormat="1" applyFont="1" applyFill="1" applyBorder="1" applyAlignment="1">
      <alignment/>
    </xf>
    <xf numFmtId="0" fontId="23" fillId="67" borderId="10" xfId="0" applyFont="1" applyFill="1" applyBorder="1" applyAlignment="1">
      <alignment horizontal="center" vertical="center" wrapText="1"/>
    </xf>
    <xf numFmtId="0" fontId="23" fillId="44" borderId="10" xfId="0" applyFont="1" applyFill="1" applyBorder="1" applyAlignment="1">
      <alignment horizontal="center" vertical="center" wrapText="1"/>
    </xf>
    <xf numFmtId="4" fontId="126" fillId="44" borderId="10" xfId="0" applyNumberFormat="1" applyFont="1" applyFill="1" applyBorder="1" applyAlignment="1">
      <alignment horizontal="center"/>
    </xf>
    <xf numFmtId="4" fontId="115" fillId="44" borderId="10" xfId="0" applyNumberFormat="1" applyFont="1" applyFill="1" applyBorder="1" applyAlignment="1">
      <alignment horizontal="center"/>
    </xf>
    <xf numFmtId="4" fontId="0" fillId="32" borderId="0" xfId="0" applyNumberFormat="1" applyFill="1" applyAlignment="1">
      <alignment/>
    </xf>
    <xf numFmtId="4" fontId="126" fillId="41" borderId="60" xfId="0" applyNumberFormat="1" applyFont="1" applyFill="1" applyBorder="1" applyAlignment="1">
      <alignment horizontal="center" vertical="center"/>
    </xf>
    <xf numFmtId="4" fontId="126" fillId="41" borderId="30" xfId="0" applyNumberFormat="1" applyFont="1" applyFill="1" applyBorder="1" applyAlignment="1">
      <alignment horizontal="center" vertical="center"/>
    </xf>
    <xf numFmtId="4" fontId="23" fillId="41" borderId="62" xfId="0" applyNumberFormat="1" applyFont="1" applyFill="1" applyBorder="1" applyAlignment="1">
      <alignment horizontal="center" vertical="center"/>
    </xf>
    <xf numFmtId="0" fontId="125" fillId="61" borderId="10" xfId="0" applyFont="1" applyFill="1" applyBorder="1" applyAlignment="1">
      <alignment horizontal="center" vertical="center"/>
    </xf>
    <xf numFmtId="0" fontId="126" fillId="61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2" fontId="0" fillId="8" borderId="10" xfId="0" applyNumberFormat="1" applyFill="1" applyBorder="1" applyAlignment="1">
      <alignment horizontal="center" vertical="center"/>
    </xf>
    <xf numFmtId="2" fontId="57" fillId="8" borderId="10" xfId="0" applyNumberFormat="1" applyFont="1" applyFill="1" applyBorder="1" applyAlignment="1">
      <alignment horizontal="center" vertical="center"/>
    </xf>
    <xf numFmtId="2" fontId="0" fillId="8" borderId="10" xfId="0" applyNumberFormat="1" applyFont="1" applyFill="1" applyBorder="1" applyAlignment="1">
      <alignment horizontal="center" vertical="center"/>
    </xf>
    <xf numFmtId="2" fontId="106" fillId="15" borderId="10" xfId="0" applyNumberFormat="1" applyFont="1" applyFill="1" applyBorder="1" applyAlignment="1">
      <alignment horizontal="center" vertical="center"/>
    </xf>
    <xf numFmtId="2" fontId="149" fillId="0" borderId="10" xfId="0" applyNumberFormat="1" applyFont="1" applyBorder="1" applyAlignment="1">
      <alignment horizontal="center" vertical="center"/>
    </xf>
    <xf numFmtId="4" fontId="149" fillId="0" borderId="10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2" fontId="106" fillId="41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42" fillId="0" borderId="11" xfId="0" applyFont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 wrapText="1"/>
    </xf>
    <xf numFmtId="0" fontId="11" fillId="45" borderId="25" xfId="0" applyFont="1" applyFill="1" applyBorder="1" applyAlignment="1">
      <alignment horizontal="center" vertical="center" wrapText="1"/>
    </xf>
    <xf numFmtId="0" fontId="11" fillId="47" borderId="31" xfId="0" applyFont="1" applyFill="1" applyBorder="1" applyAlignment="1">
      <alignment horizontal="center" vertical="center" wrapText="1"/>
    </xf>
    <xf numFmtId="0" fontId="11" fillId="47" borderId="10" xfId="0" applyFont="1" applyFill="1" applyBorder="1" applyAlignment="1">
      <alignment horizontal="center" vertical="center" wrapText="1"/>
    </xf>
    <xf numFmtId="0" fontId="11" fillId="13" borderId="19" xfId="0" applyFont="1" applyFill="1" applyBorder="1" applyAlignment="1">
      <alignment horizontal="center" vertical="center" wrapText="1"/>
    </xf>
    <xf numFmtId="0" fontId="11" fillId="46" borderId="16" xfId="0" applyFont="1" applyFill="1" applyBorder="1" applyAlignment="1">
      <alignment horizontal="center" vertical="center" wrapText="1"/>
    </xf>
    <xf numFmtId="0" fontId="22" fillId="45" borderId="10" xfId="0" applyFont="1" applyFill="1" applyBorder="1" applyAlignment="1">
      <alignment horizontal="center" vertical="center" wrapText="1"/>
    </xf>
    <xf numFmtId="0" fontId="22" fillId="64" borderId="16" xfId="0" applyFont="1" applyFill="1" applyBorder="1" applyAlignment="1">
      <alignment horizontal="center" vertical="center" wrapText="1"/>
    </xf>
    <xf numFmtId="0" fontId="11" fillId="45" borderId="10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53" borderId="0" xfId="0" applyFill="1" applyBorder="1" applyAlignment="1">
      <alignment horizontal="center"/>
    </xf>
    <xf numFmtId="0" fontId="14" fillId="58" borderId="10" xfId="0" applyFont="1" applyFill="1" applyBorder="1" applyAlignment="1">
      <alignment horizontal="center" vertical="center" wrapText="1"/>
    </xf>
    <xf numFmtId="0" fontId="23" fillId="6" borderId="16" xfId="0" applyFont="1" applyFill="1" applyBorder="1" applyAlignment="1">
      <alignment horizontal="right" vertical="center" wrapText="1"/>
    </xf>
    <xf numFmtId="4" fontId="23" fillId="6" borderId="10" xfId="0" applyNumberFormat="1" applyFont="1" applyFill="1" applyBorder="1" applyAlignment="1">
      <alignment/>
    </xf>
    <xf numFmtId="4" fontId="23" fillId="6" borderId="14" xfId="0" applyNumberFormat="1" applyFont="1" applyFill="1" applyBorder="1" applyAlignment="1">
      <alignment/>
    </xf>
    <xf numFmtId="4" fontId="23" fillId="58" borderId="10" xfId="0" applyNumberFormat="1" applyFont="1" applyFill="1" applyBorder="1" applyAlignment="1">
      <alignment/>
    </xf>
    <xf numFmtId="0" fontId="23" fillId="58" borderId="10" xfId="0" applyFont="1" applyFill="1" applyBorder="1" applyAlignment="1">
      <alignment/>
    </xf>
    <xf numFmtId="2" fontId="23" fillId="38" borderId="16" xfId="0" applyNumberFormat="1" applyFont="1" applyFill="1" applyBorder="1" applyAlignment="1">
      <alignment horizontal="right" vertical="center" wrapText="1"/>
    </xf>
    <xf numFmtId="0" fontId="23" fillId="38" borderId="16" xfId="0" applyFont="1" applyFill="1" applyBorder="1" applyAlignment="1">
      <alignment horizontal="right" vertical="center" wrapText="1"/>
    </xf>
    <xf numFmtId="4" fontId="23" fillId="38" borderId="10" xfId="0" applyNumberFormat="1" applyFont="1" applyFill="1" applyBorder="1" applyAlignment="1">
      <alignment horizontal="right"/>
    </xf>
    <xf numFmtId="4" fontId="23" fillId="38" borderId="10" xfId="0" applyNumberFormat="1" applyFont="1" applyFill="1" applyBorder="1" applyAlignment="1">
      <alignment/>
    </xf>
    <xf numFmtId="4" fontId="23" fillId="38" borderId="14" xfId="0" applyNumberFormat="1" applyFont="1" applyFill="1" applyBorder="1" applyAlignment="1">
      <alignment/>
    </xf>
    <xf numFmtId="4" fontId="23" fillId="44" borderId="10" xfId="0" applyNumberFormat="1" applyFont="1" applyFill="1" applyBorder="1" applyAlignment="1">
      <alignment/>
    </xf>
    <xf numFmtId="0" fontId="23" fillId="44" borderId="10" xfId="0" applyFont="1" applyFill="1" applyBorder="1" applyAlignment="1">
      <alignment horizontal="right" vertical="center" wrapText="1"/>
    </xf>
    <xf numFmtId="4" fontId="23" fillId="44" borderId="14" xfId="0" applyNumberFormat="1" applyFont="1" applyFill="1" applyBorder="1" applyAlignment="1">
      <alignment/>
    </xf>
    <xf numFmtId="4" fontId="117" fillId="19" borderId="10" xfId="0" applyNumberFormat="1" applyFont="1" applyFill="1" applyBorder="1" applyAlignment="1">
      <alignment horizontal="center" vertical="center"/>
    </xf>
    <xf numFmtId="4" fontId="135" fillId="53" borderId="16" xfId="0" applyNumberFormat="1" applyFont="1" applyFill="1" applyBorder="1" applyAlignment="1">
      <alignment/>
    </xf>
    <xf numFmtId="4" fontId="106" fillId="0" borderId="10" xfId="0" applyNumberFormat="1" applyFont="1" applyBorder="1" applyAlignment="1">
      <alignment horizontal="center" vertical="center"/>
    </xf>
    <xf numFmtId="0" fontId="106" fillId="0" borderId="10" xfId="0" applyFont="1" applyFill="1" applyBorder="1" applyAlignment="1">
      <alignment horizontal="center" vertical="center"/>
    </xf>
    <xf numFmtId="0" fontId="145" fillId="53" borderId="16" xfId="0" applyFont="1" applyFill="1" applyBorder="1" applyAlignment="1">
      <alignment horizontal="right" vertical="center" wrapText="1"/>
    </xf>
    <xf numFmtId="4" fontId="23" fillId="53" borderId="10" xfId="0" applyNumberFormat="1" applyFont="1" applyFill="1" applyBorder="1" applyAlignment="1">
      <alignment horizontal="center" vertical="center" wrapText="1"/>
    </xf>
    <xf numFmtId="0" fontId="23" fillId="46" borderId="16" xfId="0" applyFont="1" applyFill="1" applyBorder="1" applyAlignment="1">
      <alignment horizontal="center" vertical="center" wrapText="1"/>
    </xf>
    <xf numFmtId="0" fontId="23" fillId="46" borderId="10" xfId="0" applyFont="1" applyFill="1" applyBorder="1" applyAlignment="1">
      <alignment horizontal="center" vertical="center" wrapText="1"/>
    </xf>
    <xf numFmtId="4" fontId="126" fillId="46" borderId="10" xfId="0" applyNumberFormat="1" applyFont="1" applyFill="1" applyBorder="1" applyAlignment="1">
      <alignment horizontal="center"/>
    </xf>
    <xf numFmtId="4" fontId="126" fillId="46" borderId="14" xfId="0" applyNumberFormat="1" applyFont="1" applyFill="1" applyBorder="1" applyAlignment="1">
      <alignment horizontal="center"/>
    </xf>
    <xf numFmtId="0" fontId="23" fillId="58" borderId="10" xfId="0" applyFont="1" applyFill="1" applyBorder="1" applyAlignment="1">
      <alignment horizontal="center"/>
    </xf>
    <xf numFmtId="0" fontId="40" fillId="58" borderId="10" xfId="0" applyFont="1" applyFill="1" applyBorder="1" applyAlignment="1">
      <alignment horizontal="center"/>
    </xf>
    <xf numFmtId="0" fontId="126" fillId="41" borderId="10" xfId="0" applyFont="1" applyFill="1" applyBorder="1" applyAlignment="1">
      <alignment horizontal="center" vertical="center"/>
    </xf>
    <xf numFmtId="0" fontId="23" fillId="44" borderId="16" xfId="0" applyFont="1" applyFill="1" applyBorder="1" applyAlignment="1">
      <alignment horizontal="center" vertical="center" wrapText="1"/>
    </xf>
    <xf numFmtId="4" fontId="126" fillId="44" borderId="10" xfId="0" applyNumberFormat="1" applyFont="1" applyFill="1" applyBorder="1" applyAlignment="1">
      <alignment horizontal="center" vertical="center"/>
    </xf>
    <xf numFmtId="4" fontId="126" fillId="47" borderId="14" xfId="0" applyNumberFormat="1" applyFont="1" applyFill="1" applyBorder="1" applyAlignment="1">
      <alignment horizontal="center" vertical="center"/>
    </xf>
    <xf numFmtId="4" fontId="23" fillId="47" borderId="10" xfId="0" applyNumberFormat="1" applyFont="1" applyFill="1" applyBorder="1" applyAlignment="1">
      <alignment horizontal="center" vertical="center"/>
    </xf>
    <xf numFmtId="0" fontId="23" fillId="58" borderId="10" xfId="0" applyFont="1" applyFill="1" applyBorder="1" applyAlignment="1">
      <alignment horizontal="center" vertical="center"/>
    </xf>
    <xf numFmtId="0" fontId="135" fillId="65" borderId="10" xfId="0" applyFont="1" applyFill="1" applyBorder="1" applyAlignment="1">
      <alignment/>
    </xf>
    <xf numFmtId="0" fontId="11" fillId="65" borderId="10" xfId="0" applyFont="1" applyFill="1" applyBorder="1" applyAlignment="1">
      <alignment horizontal="left"/>
    </xf>
    <xf numFmtId="4" fontId="115" fillId="62" borderId="16" xfId="0" applyNumberFormat="1" applyFont="1" applyFill="1" applyBorder="1" applyAlignment="1">
      <alignment/>
    </xf>
    <xf numFmtId="4" fontId="40" fillId="60" borderId="10" xfId="0" applyNumberFormat="1" applyFont="1" applyFill="1" applyBorder="1" applyAlignment="1">
      <alignment/>
    </xf>
    <xf numFmtId="4" fontId="23" fillId="60" borderId="10" xfId="0" applyNumberFormat="1" applyFont="1" applyFill="1" applyBorder="1" applyAlignment="1">
      <alignment horizontal="center" vertical="center"/>
    </xf>
    <xf numFmtId="4" fontId="40" fillId="60" borderId="14" xfId="0" applyNumberFormat="1" applyFont="1" applyFill="1" applyBorder="1" applyAlignment="1">
      <alignment/>
    </xf>
    <xf numFmtId="4" fontId="14" fillId="60" borderId="10" xfId="0" applyNumberFormat="1" applyFont="1" applyFill="1" applyBorder="1" applyAlignment="1">
      <alignment/>
    </xf>
    <xf numFmtId="0" fontId="40" fillId="60" borderId="10" xfId="0" applyFont="1" applyFill="1" applyBorder="1" applyAlignment="1">
      <alignment horizontal="center" vertical="center"/>
    </xf>
    <xf numFmtId="4" fontId="23" fillId="60" borderId="10" xfId="0" applyNumberFormat="1" applyFont="1" applyFill="1" applyBorder="1" applyAlignment="1">
      <alignment/>
    </xf>
    <xf numFmtId="0" fontId="23" fillId="60" borderId="10" xfId="0" applyFont="1" applyFill="1" applyBorder="1" applyAlignment="1">
      <alignment horizontal="center" vertical="center"/>
    </xf>
    <xf numFmtId="4" fontId="22" fillId="38" borderId="10" xfId="0" applyNumberFormat="1" applyFont="1" applyFill="1" applyBorder="1" applyAlignment="1">
      <alignment vertical="center"/>
    </xf>
    <xf numFmtId="0" fontId="11" fillId="38" borderId="10" xfId="0" applyFont="1" applyFill="1" applyBorder="1" applyAlignment="1">
      <alignment horizontal="left"/>
    </xf>
    <xf numFmtId="0" fontId="11" fillId="38" borderId="14" xfId="0" applyFont="1" applyFill="1" applyBorder="1" applyAlignment="1">
      <alignment horizontal="left"/>
    </xf>
    <xf numFmtId="0" fontId="11" fillId="38" borderId="10" xfId="0" applyFont="1" applyFill="1" applyBorder="1" applyAlignment="1">
      <alignment/>
    </xf>
    <xf numFmtId="0" fontId="125" fillId="38" borderId="10" xfId="0" applyFont="1" applyFill="1" applyBorder="1" applyAlignment="1">
      <alignment/>
    </xf>
    <xf numFmtId="0" fontId="11" fillId="38" borderId="16" xfId="0" applyFont="1" applyFill="1" applyBorder="1" applyAlignment="1">
      <alignment horizontal="left"/>
    </xf>
    <xf numFmtId="0" fontId="0" fillId="53" borderId="0" xfId="0" applyFill="1" applyBorder="1" applyAlignment="1">
      <alignment horizontal="center"/>
    </xf>
    <xf numFmtId="4" fontId="154" fillId="14" borderId="19" xfId="0" applyNumberFormat="1" applyFont="1" applyFill="1" applyBorder="1" applyAlignment="1">
      <alignment/>
    </xf>
    <xf numFmtId="192" fontId="137" fillId="53" borderId="28" xfId="0" applyNumberFormat="1" applyFont="1" applyFill="1" applyBorder="1" applyAlignment="1">
      <alignment/>
    </xf>
    <xf numFmtId="2" fontId="157" fillId="0" borderId="19" xfId="0" applyNumberFormat="1" applyFont="1" applyBorder="1" applyAlignment="1">
      <alignment/>
    </xf>
    <xf numFmtId="4" fontId="135" fillId="0" borderId="20" xfId="0" applyNumberFormat="1" applyFont="1" applyBorder="1" applyAlignment="1">
      <alignment/>
    </xf>
    <xf numFmtId="0" fontId="0" fillId="12" borderId="10" xfId="0" applyFill="1" applyBorder="1" applyAlignment="1">
      <alignment horizontal="center" vertical="center"/>
    </xf>
    <xf numFmtId="0" fontId="0" fillId="53" borderId="10" xfId="0" applyFill="1" applyBorder="1" applyAlignment="1">
      <alignment horizontal="center" vertical="center"/>
    </xf>
    <xf numFmtId="0" fontId="106" fillId="9" borderId="10" xfId="0" applyFon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126" fillId="41" borderId="10" xfId="0" applyFont="1" applyFill="1" applyBorder="1" applyAlignment="1">
      <alignment horizontal="center"/>
    </xf>
    <xf numFmtId="0" fontId="126" fillId="41" borderId="10" xfId="0" applyFont="1" applyFill="1" applyBorder="1" applyAlignment="1">
      <alignment horizontal="center" wrapText="1"/>
    </xf>
    <xf numFmtId="0" fontId="147" fillId="41" borderId="10" xfId="0" applyFont="1" applyFill="1" applyBorder="1" applyAlignment="1">
      <alignment horizontal="center" wrapText="1"/>
    </xf>
    <xf numFmtId="4" fontId="14" fillId="41" borderId="10" xfId="0" applyNumberFormat="1" applyFont="1" applyFill="1" applyBorder="1" applyAlignment="1">
      <alignment/>
    </xf>
    <xf numFmtId="2" fontId="106" fillId="21" borderId="10" xfId="0" applyNumberFormat="1" applyFont="1" applyFill="1" applyBorder="1" applyAlignment="1">
      <alignment horizontal="center" vertical="center"/>
    </xf>
    <xf numFmtId="2" fontId="0" fillId="69" borderId="10" xfId="0" applyNumberFormat="1" applyFont="1" applyFill="1" applyBorder="1" applyAlignment="1">
      <alignment horizontal="center" vertical="center"/>
    </xf>
    <xf numFmtId="2" fontId="0" fillId="69" borderId="10" xfId="0" applyNumberFormat="1" applyFill="1" applyBorder="1" applyAlignment="1">
      <alignment horizontal="center" vertical="center"/>
    </xf>
    <xf numFmtId="2" fontId="57" fillId="69" borderId="10" xfId="0" applyNumberFormat="1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15" borderId="14" xfId="0" applyFont="1" applyFill="1" applyBorder="1" applyAlignment="1">
      <alignment horizontal="center"/>
    </xf>
    <xf numFmtId="4" fontId="0" fillId="15" borderId="14" xfId="0" applyNumberFormat="1" applyFont="1" applyFill="1" applyBorder="1" applyAlignment="1">
      <alignment horizontal="center"/>
    </xf>
    <xf numFmtId="4" fontId="113" fillId="33" borderId="14" xfId="0" applyNumberFormat="1" applyFont="1" applyFill="1" applyBorder="1" applyAlignment="1">
      <alignment/>
    </xf>
    <xf numFmtId="4" fontId="0" fillId="4" borderId="51" xfId="0" applyNumberFormat="1" applyFill="1" applyBorder="1" applyAlignment="1">
      <alignment/>
    </xf>
    <xf numFmtId="4" fontId="0" fillId="36" borderId="51" xfId="0" applyNumberFormat="1" applyFill="1" applyBorder="1" applyAlignment="1">
      <alignment/>
    </xf>
    <xf numFmtId="0" fontId="0" fillId="9" borderId="70" xfId="0" applyFont="1" applyFill="1" applyBorder="1" applyAlignment="1">
      <alignment/>
    </xf>
    <xf numFmtId="4" fontId="1" fillId="9" borderId="31" xfId="0" applyNumberFormat="1" applyFont="1" applyFill="1" applyBorder="1" applyAlignment="1">
      <alignment/>
    </xf>
    <xf numFmtId="4" fontId="0" fillId="9" borderId="31" xfId="0" applyNumberFormat="1" applyFont="1" applyFill="1" applyBorder="1" applyAlignment="1">
      <alignment/>
    </xf>
    <xf numFmtId="4" fontId="106" fillId="33" borderId="31" xfId="0" applyNumberFormat="1" applyFont="1" applyFill="1" applyBorder="1" applyAlignment="1">
      <alignment/>
    </xf>
    <xf numFmtId="4" fontId="106" fillId="4" borderId="31" xfId="0" applyNumberFormat="1" applyFont="1" applyFill="1" applyBorder="1" applyAlignment="1">
      <alignment/>
    </xf>
    <xf numFmtId="4" fontId="106" fillId="4" borderId="65" xfId="0" applyNumberFormat="1" applyFont="1" applyFill="1" applyBorder="1" applyAlignment="1">
      <alignment/>
    </xf>
    <xf numFmtId="2" fontId="1" fillId="4" borderId="51" xfId="0" applyNumberFormat="1" applyFont="1" applyFill="1" applyBorder="1" applyAlignment="1">
      <alignment horizontal="right"/>
    </xf>
    <xf numFmtId="4" fontId="6" fillId="33" borderId="70" xfId="0" applyNumberFormat="1" applyFont="1" applyFill="1" applyBorder="1" applyAlignment="1">
      <alignment/>
    </xf>
    <xf numFmtId="4" fontId="6" fillId="33" borderId="31" xfId="0" applyNumberFormat="1" applyFont="1" applyFill="1" applyBorder="1" applyAlignment="1">
      <alignment/>
    </xf>
    <xf numFmtId="4" fontId="0" fillId="41" borderId="31" xfId="0" applyNumberFormat="1" applyFill="1" applyBorder="1" applyAlignment="1">
      <alignment/>
    </xf>
    <xf numFmtId="4" fontId="6" fillId="41" borderId="31" xfId="0" applyNumberFormat="1" applyFont="1" applyFill="1" applyBorder="1" applyAlignment="1">
      <alignment/>
    </xf>
    <xf numFmtId="4" fontId="106" fillId="41" borderId="65" xfId="0" applyNumberFormat="1" applyFont="1" applyFill="1" applyBorder="1" applyAlignment="1">
      <alignment/>
    </xf>
    <xf numFmtId="0" fontId="127" fillId="0" borderId="25" xfId="0" applyFont="1" applyBorder="1" applyAlignment="1">
      <alignment horizontal="center" vertical="center"/>
    </xf>
    <xf numFmtId="0" fontId="127" fillId="0" borderId="16" xfId="0" applyFont="1" applyBorder="1" applyAlignment="1">
      <alignment horizontal="center" vertical="center"/>
    </xf>
    <xf numFmtId="0" fontId="127" fillId="0" borderId="0" xfId="0" applyFont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 wrapText="1"/>
    </xf>
    <xf numFmtId="0" fontId="22" fillId="45" borderId="10" xfId="0" applyFont="1" applyFill="1" applyBorder="1" applyAlignment="1">
      <alignment horizontal="center" vertical="center" wrapText="1"/>
    </xf>
    <xf numFmtId="2" fontId="134" fillId="53" borderId="10" xfId="0" applyNumberFormat="1" applyFont="1" applyFill="1" applyBorder="1" applyAlignment="1">
      <alignment horizontal="center" vertical="center"/>
    </xf>
    <xf numFmtId="0" fontId="23" fillId="53" borderId="10" xfId="0" applyFont="1" applyFill="1" applyBorder="1" applyAlignment="1">
      <alignment/>
    </xf>
    <xf numFmtId="4" fontId="22" fillId="53" borderId="10" xfId="0" applyNumberFormat="1" applyFont="1" applyFill="1" applyBorder="1" applyAlignment="1">
      <alignment/>
    </xf>
    <xf numFmtId="4" fontId="125" fillId="53" borderId="10" xfId="0" applyNumberFormat="1" applyFont="1" applyFill="1" applyBorder="1" applyAlignment="1">
      <alignment horizontal="center"/>
    </xf>
    <xf numFmtId="4" fontId="115" fillId="53" borderId="0" xfId="0" applyNumberFormat="1" applyFont="1" applyFill="1" applyAlignment="1">
      <alignment horizontal="center" vertical="center"/>
    </xf>
    <xf numFmtId="0" fontId="133" fillId="17" borderId="10" xfId="0" applyFont="1" applyFill="1" applyBorder="1" applyAlignment="1">
      <alignment/>
    </xf>
    <xf numFmtId="4" fontId="117" fillId="17" borderId="10" xfId="0" applyNumberFormat="1" applyFont="1" applyFill="1" applyBorder="1" applyAlignment="1">
      <alignment/>
    </xf>
    <xf numFmtId="4" fontId="125" fillId="17" borderId="10" xfId="0" applyNumberFormat="1" applyFont="1" applyFill="1" applyBorder="1" applyAlignment="1">
      <alignment/>
    </xf>
    <xf numFmtId="0" fontId="117" fillId="17" borderId="10" xfId="0" applyFont="1" applyFill="1" applyBorder="1" applyAlignment="1">
      <alignment/>
    </xf>
    <xf numFmtId="4" fontId="117" fillId="17" borderId="14" xfId="0" applyNumberFormat="1" applyFont="1" applyFill="1" applyBorder="1" applyAlignment="1">
      <alignment/>
    </xf>
    <xf numFmtId="0" fontId="106" fillId="17" borderId="10" xfId="0" applyFont="1" applyFill="1" applyBorder="1" applyAlignment="1">
      <alignment/>
    </xf>
    <xf numFmtId="0" fontId="125" fillId="17" borderId="10" xfId="0" applyFont="1" applyFill="1" applyBorder="1" applyAlignment="1">
      <alignment/>
    </xf>
    <xf numFmtId="4" fontId="117" fillId="17" borderId="10" xfId="0" applyNumberFormat="1" applyFont="1" applyFill="1" applyBorder="1" applyAlignment="1">
      <alignment horizontal="center"/>
    </xf>
    <xf numFmtId="4" fontId="22" fillId="17" borderId="10" xfId="0" applyNumberFormat="1" applyFont="1" applyFill="1" applyBorder="1" applyAlignment="1">
      <alignment/>
    </xf>
    <xf numFmtId="4" fontId="128" fillId="17" borderId="10" xfId="0" applyNumberFormat="1" applyFont="1" applyFill="1" applyBorder="1" applyAlignment="1">
      <alignment horizontal="center"/>
    </xf>
    <xf numFmtId="4" fontId="21" fillId="17" borderId="10" xfId="0" applyNumberFormat="1" applyFont="1" applyFill="1" applyBorder="1" applyAlignment="1">
      <alignment horizontal="center"/>
    </xf>
    <xf numFmtId="0" fontId="150" fillId="17" borderId="10" xfId="0" applyFont="1" applyFill="1" applyBorder="1" applyAlignment="1">
      <alignment/>
    </xf>
    <xf numFmtId="4" fontId="128" fillId="17" borderId="10" xfId="0" applyNumberFormat="1" applyFont="1" applyFill="1" applyBorder="1" applyAlignment="1">
      <alignment/>
    </xf>
    <xf numFmtId="4" fontId="128" fillId="17" borderId="25" xfId="0" applyNumberFormat="1" applyFont="1" applyFill="1" applyBorder="1" applyAlignment="1">
      <alignment/>
    </xf>
    <xf numFmtId="0" fontId="22" fillId="41" borderId="10" xfId="0" applyFont="1" applyFill="1" applyBorder="1" applyAlignment="1">
      <alignment/>
    </xf>
    <xf numFmtId="4" fontId="22" fillId="41" borderId="10" xfId="0" applyNumberFormat="1" applyFont="1" applyFill="1" applyBorder="1" applyAlignment="1">
      <alignment/>
    </xf>
    <xf numFmtId="0" fontId="125" fillId="41" borderId="10" xfId="0" applyFont="1" applyFill="1" applyBorder="1" applyAlignment="1">
      <alignment/>
    </xf>
    <xf numFmtId="0" fontId="22" fillId="41" borderId="14" xfId="0" applyFont="1" applyFill="1" applyBorder="1" applyAlignment="1">
      <alignment/>
    </xf>
    <xf numFmtId="0" fontId="23" fillId="41" borderId="10" xfId="0" applyFont="1" applyFill="1" applyBorder="1" applyAlignment="1">
      <alignment/>
    </xf>
    <xf numFmtId="4" fontId="23" fillId="41" borderId="10" xfId="0" applyNumberFormat="1" applyFont="1" applyFill="1" applyBorder="1" applyAlignment="1">
      <alignment/>
    </xf>
    <xf numFmtId="4" fontId="125" fillId="41" borderId="10" xfId="0" applyNumberFormat="1" applyFont="1" applyFill="1" applyBorder="1" applyAlignment="1">
      <alignment horizontal="center"/>
    </xf>
    <xf numFmtId="0" fontId="22" fillId="7" borderId="10" xfId="0" applyFont="1" applyFill="1" applyBorder="1" applyAlignment="1">
      <alignment horizontal="center" vertical="center" wrapText="1"/>
    </xf>
    <xf numFmtId="0" fontId="22" fillId="45" borderId="10" xfId="0" applyFont="1" applyFill="1" applyBorder="1" applyAlignment="1">
      <alignment horizontal="center" vertical="center" wrapText="1"/>
    </xf>
    <xf numFmtId="0" fontId="11" fillId="46" borderId="16" xfId="0" applyFont="1" applyFill="1" applyBorder="1" applyAlignment="1">
      <alignment horizontal="center" vertical="center" wrapText="1"/>
    </xf>
    <xf numFmtId="4" fontId="115" fillId="6" borderId="14" xfId="0" applyNumberFormat="1" applyFont="1" applyFill="1" applyBorder="1" applyAlignment="1">
      <alignment/>
    </xf>
    <xf numFmtId="4" fontId="125" fillId="17" borderId="10" xfId="0" applyNumberFormat="1" applyFont="1" applyFill="1" applyBorder="1" applyAlignment="1">
      <alignment horizontal="right"/>
    </xf>
    <xf numFmtId="4" fontId="40" fillId="6" borderId="10" xfId="0" applyNumberFormat="1" applyFont="1" applyFill="1" applyBorder="1" applyAlignment="1">
      <alignment horizontal="right"/>
    </xf>
    <xf numFmtId="4" fontId="40" fillId="6" borderId="14" xfId="0" applyNumberFormat="1" applyFont="1" applyFill="1" applyBorder="1" applyAlignment="1">
      <alignment horizontal="right"/>
    </xf>
    <xf numFmtId="0" fontId="40" fillId="6" borderId="10" xfId="0" applyFont="1" applyFill="1" applyBorder="1" applyAlignment="1">
      <alignment horizontal="right" vertical="center"/>
    </xf>
    <xf numFmtId="0" fontId="124" fillId="41" borderId="10" xfId="0" applyFont="1" applyFill="1" applyBorder="1" applyAlignment="1">
      <alignment horizontal="center" vertical="center" wrapText="1"/>
    </xf>
    <xf numFmtId="0" fontId="118" fillId="41" borderId="64" xfId="0" applyFont="1" applyFill="1" applyBorder="1" applyAlignment="1">
      <alignment vertical="center"/>
    </xf>
    <xf numFmtId="0" fontId="0" fillId="12" borderId="10" xfId="0" applyFill="1" applyBorder="1" applyAlignment="1">
      <alignment vertical="center"/>
    </xf>
    <xf numFmtId="4" fontId="123" fillId="12" borderId="10" xfId="0" applyNumberFormat="1" applyFont="1" applyFill="1" applyBorder="1" applyAlignment="1">
      <alignment horizontal="center" vertical="center"/>
    </xf>
    <xf numFmtId="4" fontId="117" fillId="12" borderId="10" xfId="0" applyNumberFormat="1" applyFont="1" applyFill="1" applyBorder="1" applyAlignment="1">
      <alignment/>
    </xf>
    <xf numFmtId="0" fontId="36" fillId="9" borderId="11" xfId="0" applyFont="1" applyFill="1" applyBorder="1" applyAlignment="1">
      <alignment horizontal="left"/>
    </xf>
    <xf numFmtId="2" fontId="143" fillId="0" borderId="65" xfId="0" applyNumberFormat="1" applyFont="1" applyBorder="1" applyAlignment="1">
      <alignment/>
    </xf>
    <xf numFmtId="3" fontId="0" fillId="12" borderId="10" xfId="0" applyNumberFormat="1" applyFill="1" applyBorder="1" applyAlignment="1">
      <alignment horizontal="center" vertical="center"/>
    </xf>
    <xf numFmtId="2" fontId="38" fillId="0" borderId="10" xfId="0" applyNumberFormat="1" applyFont="1" applyBorder="1" applyAlignment="1">
      <alignment/>
    </xf>
    <xf numFmtId="2" fontId="38" fillId="0" borderId="22" xfId="0" applyNumberFormat="1" applyFont="1" applyBorder="1" applyAlignment="1">
      <alignment/>
    </xf>
    <xf numFmtId="0" fontId="143" fillId="0" borderId="13" xfId="0" applyFont="1" applyBorder="1" applyAlignment="1">
      <alignment/>
    </xf>
    <xf numFmtId="2" fontId="39" fillId="0" borderId="63" xfId="0" applyNumberFormat="1" applyFont="1" applyBorder="1" applyAlignment="1">
      <alignment/>
    </xf>
    <xf numFmtId="2" fontId="39" fillId="0" borderId="21" xfId="0" applyNumberFormat="1" applyFont="1" applyBorder="1" applyAlignment="1">
      <alignment/>
    </xf>
    <xf numFmtId="4" fontId="143" fillId="0" borderId="21" xfId="0" applyNumberFormat="1" applyFont="1" applyBorder="1" applyAlignment="1">
      <alignment/>
    </xf>
    <xf numFmtId="4" fontId="140" fillId="14" borderId="30" xfId="0" applyNumberFormat="1" applyFont="1" applyFill="1" applyBorder="1" applyAlignment="1">
      <alignment/>
    </xf>
    <xf numFmtId="0" fontId="36" fillId="3" borderId="21" xfId="0" applyFont="1" applyFill="1" applyBorder="1" applyAlignment="1">
      <alignment/>
    </xf>
    <xf numFmtId="4" fontId="140" fillId="38" borderId="16" xfId="0" applyNumberFormat="1" applyFont="1" applyFill="1" applyBorder="1" applyAlignment="1">
      <alignment/>
    </xf>
    <xf numFmtId="2" fontId="0" fillId="38" borderId="10" xfId="0" applyNumberFormat="1" applyFill="1" applyBorder="1" applyAlignment="1">
      <alignment horizontal="center" vertical="center"/>
    </xf>
    <xf numFmtId="4" fontId="142" fillId="7" borderId="16" xfId="0" applyNumberFormat="1" applyFont="1" applyFill="1" applyBorder="1" applyAlignment="1">
      <alignment/>
    </xf>
    <xf numFmtId="4" fontId="142" fillId="7" borderId="3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4" fontId="115" fillId="53" borderId="10" xfId="0" applyNumberFormat="1" applyFont="1" applyFill="1" applyBorder="1" applyAlignment="1">
      <alignment horizontal="right"/>
    </xf>
    <xf numFmtId="4" fontId="115" fillId="53" borderId="14" xfId="0" applyNumberFormat="1" applyFont="1" applyFill="1" applyBorder="1" applyAlignment="1">
      <alignment horizontal="right"/>
    </xf>
    <xf numFmtId="0" fontId="115" fillId="53" borderId="10" xfId="0" applyFont="1" applyFill="1" applyBorder="1" applyAlignment="1">
      <alignment horizontal="right" vertical="center"/>
    </xf>
    <xf numFmtId="4" fontId="117" fillId="17" borderId="10" xfId="0" applyNumberFormat="1" applyFont="1" applyFill="1" applyBorder="1" applyAlignment="1">
      <alignment horizontal="right" vertical="center"/>
    </xf>
    <xf numFmtId="0" fontId="135" fillId="47" borderId="10" xfId="0" applyFont="1" applyFill="1" applyBorder="1" applyAlignment="1">
      <alignment/>
    </xf>
    <xf numFmtId="0" fontId="0" fillId="47" borderId="10" xfId="0" applyFill="1" applyBorder="1" applyAlignment="1">
      <alignment/>
    </xf>
    <xf numFmtId="4" fontId="117" fillId="47" borderId="10" xfId="0" applyNumberFormat="1" applyFont="1" applyFill="1" applyBorder="1" applyAlignment="1">
      <alignment horizontal="center" vertical="center"/>
    </xf>
    <xf numFmtId="0" fontId="126" fillId="47" borderId="10" xfId="0" applyFont="1" applyFill="1" applyBorder="1" applyAlignment="1">
      <alignment horizontal="center" vertical="center"/>
    </xf>
    <xf numFmtId="4" fontId="126" fillId="47" borderId="10" xfId="0" applyNumberFormat="1" applyFont="1" applyFill="1" applyBorder="1" applyAlignment="1">
      <alignment/>
    </xf>
    <xf numFmtId="0" fontId="137" fillId="47" borderId="10" xfId="0" applyFont="1" applyFill="1" applyBorder="1" applyAlignment="1">
      <alignment horizontal="center"/>
    </xf>
    <xf numFmtId="4" fontId="125" fillId="47" borderId="10" xfId="0" applyNumberFormat="1" applyFont="1" applyFill="1" applyBorder="1" applyAlignment="1">
      <alignment horizontal="center" vertical="center"/>
    </xf>
    <xf numFmtId="0" fontId="125" fillId="47" borderId="10" xfId="0" applyFont="1" applyFill="1" applyBorder="1" applyAlignment="1">
      <alignment horizontal="center" vertical="center"/>
    </xf>
    <xf numFmtId="0" fontId="117" fillId="47" borderId="10" xfId="0" applyFont="1" applyFill="1" applyBorder="1" applyAlignment="1">
      <alignment horizontal="center" vertical="center"/>
    </xf>
    <xf numFmtId="0" fontId="138" fillId="47" borderId="10" xfId="0" applyFont="1" applyFill="1" applyBorder="1" applyAlignment="1">
      <alignment/>
    </xf>
    <xf numFmtId="4" fontId="125" fillId="47" borderId="10" xfId="0" applyNumberFormat="1" applyFont="1" applyFill="1" applyBorder="1" applyAlignment="1">
      <alignment horizontal="center"/>
    </xf>
    <xf numFmtId="0" fontId="125" fillId="47" borderId="10" xfId="0" applyFont="1" applyFill="1" applyBorder="1" applyAlignment="1">
      <alignment/>
    </xf>
    <xf numFmtId="4" fontId="35" fillId="47" borderId="10" xfId="0" applyNumberFormat="1" applyFont="1" applyFill="1" applyBorder="1" applyAlignment="1">
      <alignment horizontal="center" vertical="center"/>
    </xf>
    <xf numFmtId="4" fontId="22" fillId="47" borderId="10" xfId="0" applyNumberFormat="1" applyFont="1" applyFill="1" applyBorder="1" applyAlignment="1">
      <alignment vertical="center"/>
    </xf>
    <xf numFmtId="4" fontId="126" fillId="47" borderId="10" xfId="0" applyNumberFormat="1" applyFont="1" applyFill="1" applyBorder="1" applyAlignment="1">
      <alignment horizontal="center"/>
    </xf>
    <xf numFmtId="0" fontId="22" fillId="47" borderId="10" xfId="0" applyFont="1" applyFill="1" applyBorder="1" applyAlignment="1">
      <alignment horizontal="center"/>
    </xf>
    <xf numFmtId="4" fontId="126" fillId="47" borderId="10" xfId="0" applyNumberFormat="1" applyFont="1" applyFill="1" applyBorder="1" applyAlignment="1">
      <alignment horizontal="center" vertical="center"/>
    </xf>
    <xf numFmtId="0" fontId="11" fillId="47" borderId="10" xfId="0" applyFont="1" applyFill="1" applyBorder="1" applyAlignment="1">
      <alignment/>
    </xf>
    <xf numFmtId="4" fontId="22" fillId="47" borderId="10" xfId="0" applyNumberFormat="1" applyFont="1" applyFill="1" applyBorder="1" applyAlignment="1">
      <alignment vertical="center" wrapText="1"/>
    </xf>
    <xf numFmtId="4" fontId="22" fillId="47" borderId="10" xfId="0" applyNumberFormat="1" applyFont="1" applyFill="1" applyBorder="1" applyAlignment="1">
      <alignment horizontal="center"/>
    </xf>
    <xf numFmtId="4" fontId="11" fillId="47" borderId="10" xfId="0" applyNumberFormat="1" applyFont="1" applyFill="1" applyBorder="1" applyAlignment="1">
      <alignment horizontal="center" vertical="center" wrapText="1"/>
    </xf>
    <xf numFmtId="4" fontId="22" fillId="47" borderId="10" xfId="0" applyNumberFormat="1" applyFont="1" applyFill="1" applyBorder="1" applyAlignment="1">
      <alignment/>
    </xf>
    <xf numFmtId="4" fontId="22" fillId="47" borderId="10" xfId="0" applyNumberFormat="1" applyFont="1" applyFill="1" applyBorder="1" applyAlignment="1">
      <alignment horizontal="center" vertical="center" wrapText="1"/>
    </xf>
    <xf numFmtId="4" fontId="3" fillId="47" borderId="10" xfId="0" applyNumberFormat="1" applyFont="1" applyFill="1" applyBorder="1" applyAlignment="1">
      <alignment/>
    </xf>
    <xf numFmtId="4" fontId="25" fillId="47" borderId="10" xfId="0" applyNumberFormat="1" applyFont="1" applyFill="1" applyBorder="1" applyAlignment="1">
      <alignment horizontal="center"/>
    </xf>
    <xf numFmtId="4" fontId="125" fillId="47" borderId="64" xfId="0" applyNumberFormat="1" applyFont="1" applyFill="1" applyBorder="1" applyAlignment="1">
      <alignment horizontal="center" vertical="center"/>
    </xf>
    <xf numFmtId="4" fontId="125" fillId="47" borderId="21" xfId="0" applyNumberFormat="1" applyFont="1" applyFill="1" applyBorder="1" applyAlignment="1">
      <alignment horizontal="center" vertical="center"/>
    </xf>
    <xf numFmtId="4" fontId="126" fillId="47" borderId="11" xfId="0" applyNumberFormat="1" applyFont="1" applyFill="1" applyBorder="1" applyAlignment="1">
      <alignment horizontal="center" vertical="center"/>
    </xf>
    <xf numFmtId="4" fontId="125" fillId="47" borderId="10" xfId="0" applyNumberFormat="1" applyFont="1" applyFill="1" applyBorder="1" applyAlignment="1">
      <alignment/>
    </xf>
    <xf numFmtId="4" fontId="125" fillId="47" borderId="25" xfId="0" applyNumberFormat="1" applyFont="1" applyFill="1" applyBorder="1" applyAlignment="1">
      <alignment horizontal="center" vertical="center"/>
    </xf>
    <xf numFmtId="0" fontId="40" fillId="41" borderId="16" xfId="0" applyFont="1" applyFill="1" applyBorder="1" applyAlignment="1">
      <alignment horizontal="right" vertical="center" wrapText="1"/>
    </xf>
    <xf numFmtId="0" fontId="40" fillId="41" borderId="10" xfId="0" applyFont="1" applyFill="1" applyBorder="1" applyAlignment="1">
      <alignment horizontal="right" vertical="center" wrapText="1"/>
    </xf>
    <xf numFmtId="4" fontId="40" fillId="41" borderId="10" xfId="0" applyNumberFormat="1" applyFont="1" applyFill="1" applyBorder="1" applyAlignment="1">
      <alignment horizontal="right"/>
    </xf>
    <xf numFmtId="4" fontId="40" fillId="41" borderId="14" xfId="0" applyNumberFormat="1" applyFont="1" applyFill="1" applyBorder="1" applyAlignment="1">
      <alignment horizontal="right"/>
    </xf>
    <xf numFmtId="4" fontId="115" fillId="37" borderId="14" xfId="0" applyNumberFormat="1" applyFont="1" applyFill="1" applyBorder="1" applyAlignment="1">
      <alignment horizontal="right"/>
    </xf>
    <xf numFmtId="4" fontId="126" fillId="37" borderId="14" xfId="0" applyNumberFormat="1" applyFont="1" applyFill="1" applyBorder="1" applyAlignment="1">
      <alignment horizontal="right"/>
    </xf>
    <xf numFmtId="4" fontId="126" fillId="41" borderId="14" xfId="0" applyNumberFormat="1" applyFont="1" applyFill="1" applyBorder="1" applyAlignment="1">
      <alignment horizontal="right"/>
    </xf>
    <xf numFmtId="0" fontId="115" fillId="6" borderId="16" xfId="0" applyFont="1" applyFill="1" applyBorder="1" applyAlignment="1">
      <alignment horizontal="right" vertical="center" wrapText="1"/>
    </xf>
    <xf numFmtId="0" fontId="117" fillId="17" borderId="10" xfId="0" applyFont="1" applyFill="1" applyBorder="1" applyAlignment="1">
      <alignment horizontal="center"/>
    </xf>
    <xf numFmtId="0" fontId="115" fillId="6" borderId="10" xfId="0" applyFont="1" applyFill="1" applyBorder="1" applyAlignment="1">
      <alignment/>
    </xf>
    <xf numFmtId="0" fontId="117" fillId="6" borderId="10" xfId="0" applyFont="1" applyFill="1" applyBorder="1" applyAlignment="1">
      <alignment/>
    </xf>
    <xf numFmtId="2" fontId="38" fillId="6" borderId="22" xfId="0" applyNumberFormat="1" applyFont="1" applyFill="1" applyBorder="1" applyAlignment="1">
      <alignment/>
    </xf>
    <xf numFmtId="2" fontId="38" fillId="6" borderId="62" xfId="0" applyNumberFormat="1" applyFont="1" applyFill="1" applyBorder="1" applyAlignment="1">
      <alignment/>
    </xf>
    <xf numFmtId="0" fontId="0" fillId="64" borderId="10" xfId="0" applyFill="1" applyBorder="1" applyAlignment="1">
      <alignment horizontal="center" vertical="center"/>
    </xf>
    <xf numFmtId="4" fontId="0" fillId="13" borderId="10" xfId="0" applyNumberFormat="1" applyFill="1" applyBorder="1" applyAlignment="1">
      <alignment/>
    </xf>
    <xf numFmtId="4" fontId="0" fillId="13" borderId="13" xfId="0" applyNumberFormat="1" applyFill="1" applyBorder="1" applyAlignment="1">
      <alignment/>
    </xf>
    <xf numFmtId="0" fontId="1" fillId="64" borderId="10" xfId="0" applyFont="1" applyFill="1" applyBorder="1" applyAlignment="1">
      <alignment/>
    </xf>
    <xf numFmtId="4" fontId="1" fillId="64" borderId="10" xfId="0" applyNumberFormat="1" applyFont="1" applyFill="1" applyBorder="1" applyAlignment="1">
      <alignment/>
    </xf>
    <xf numFmtId="4" fontId="28" fillId="64" borderId="24" xfId="0" applyNumberFormat="1" applyFont="1" applyFill="1" applyBorder="1" applyAlignment="1">
      <alignment/>
    </xf>
    <xf numFmtId="4" fontId="122" fillId="53" borderId="10" xfId="0" applyNumberFormat="1" applyFont="1" applyFill="1" applyBorder="1" applyAlignment="1">
      <alignment horizontal="right"/>
    </xf>
    <xf numFmtId="4" fontId="40" fillId="53" borderId="10" xfId="0" applyNumberFormat="1" applyFont="1" applyFill="1" applyBorder="1" applyAlignment="1">
      <alignment horizontal="right"/>
    </xf>
    <xf numFmtId="0" fontId="40" fillId="53" borderId="10" xfId="0" applyFont="1" applyFill="1" applyBorder="1" applyAlignment="1">
      <alignment horizontal="right" vertical="center"/>
    </xf>
    <xf numFmtId="4" fontId="126" fillId="53" borderId="10" xfId="0" applyNumberFormat="1" applyFont="1" applyFill="1" applyBorder="1" applyAlignment="1">
      <alignment horizontal="right"/>
    </xf>
    <xf numFmtId="4" fontId="117" fillId="47" borderId="10" xfId="0" applyNumberFormat="1" applyFont="1" applyFill="1" applyBorder="1" applyAlignment="1">
      <alignment/>
    </xf>
    <xf numFmtId="0" fontId="117" fillId="47" borderId="10" xfId="0" applyFont="1" applyFill="1" applyBorder="1" applyAlignment="1">
      <alignment/>
    </xf>
    <xf numFmtId="4" fontId="117" fillId="47" borderId="10" xfId="0" applyNumberFormat="1" applyFont="1" applyFill="1" applyBorder="1" applyAlignment="1">
      <alignment horizontal="right" vertical="center"/>
    </xf>
    <xf numFmtId="0" fontId="106" fillId="47" borderId="10" xfId="0" applyFont="1" applyFill="1" applyBorder="1" applyAlignment="1">
      <alignment/>
    </xf>
    <xf numFmtId="0" fontId="125" fillId="55" borderId="10" xfId="0" applyFont="1" applyFill="1" applyBorder="1" applyAlignment="1">
      <alignment/>
    </xf>
    <xf numFmtId="4" fontId="115" fillId="37" borderId="10" xfId="0" applyNumberFormat="1" applyFont="1" applyFill="1" applyBorder="1" applyAlignment="1">
      <alignment horizontal="right"/>
    </xf>
    <xf numFmtId="4" fontId="115" fillId="41" borderId="14" xfId="0" applyNumberFormat="1" applyFont="1" applyFill="1" applyBorder="1" applyAlignment="1">
      <alignment horizontal="right"/>
    </xf>
    <xf numFmtId="0" fontId="35" fillId="47" borderId="10" xfId="0" applyFont="1" applyFill="1" applyBorder="1" applyAlignment="1">
      <alignment horizontal="right"/>
    </xf>
    <xf numFmtId="2" fontId="38" fillId="6" borderId="10" xfId="0" applyNumberFormat="1" applyFont="1" applyFill="1" applyBorder="1" applyAlignment="1">
      <alignment/>
    </xf>
    <xf numFmtId="4" fontId="40" fillId="53" borderId="14" xfId="0" applyNumberFormat="1" applyFont="1" applyFill="1" applyBorder="1" applyAlignment="1">
      <alignment horizontal="right"/>
    </xf>
    <xf numFmtId="4" fontId="14" fillId="53" borderId="10" xfId="0" applyNumberFormat="1" applyFont="1" applyFill="1" applyBorder="1" applyAlignment="1">
      <alignment horizontal="right"/>
    </xf>
    <xf numFmtId="4" fontId="23" fillId="53" borderId="10" xfId="0" applyNumberFormat="1" applyFont="1" applyFill="1" applyBorder="1" applyAlignment="1">
      <alignment horizontal="right"/>
    </xf>
    <xf numFmtId="4" fontId="125" fillId="6" borderId="10" xfId="0" applyNumberFormat="1" applyFont="1" applyFill="1" applyBorder="1" applyAlignment="1">
      <alignment horizontal="center" vertical="center"/>
    </xf>
    <xf numFmtId="4" fontId="30" fillId="14" borderId="16" xfId="0" applyNumberFormat="1" applyFont="1" applyFill="1" applyBorder="1" applyAlignment="1">
      <alignment/>
    </xf>
    <xf numFmtId="0" fontId="135" fillId="0" borderId="10" xfId="0" applyFont="1" applyBorder="1" applyAlignment="1">
      <alignment horizontal="center" vertical="center"/>
    </xf>
    <xf numFmtId="4" fontId="163" fillId="0" borderId="10" xfId="0" applyNumberFormat="1" applyFont="1" applyBorder="1" applyAlignment="1">
      <alignment horizontal="center" vertical="center"/>
    </xf>
    <xf numFmtId="2" fontId="163" fillId="0" borderId="10" xfId="0" applyNumberFormat="1" applyFont="1" applyBorder="1" applyAlignment="1">
      <alignment horizontal="center" vertical="center"/>
    </xf>
    <xf numFmtId="2" fontId="157" fillId="0" borderId="10" xfId="0" applyNumberFormat="1" applyFont="1" applyBorder="1" applyAlignment="1">
      <alignment horizontal="center" vertical="center"/>
    </xf>
    <xf numFmtId="4" fontId="135" fillId="0" borderId="10" xfId="0" applyNumberFormat="1" applyFont="1" applyBorder="1" applyAlignment="1">
      <alignment horizontal="center" vertical="center"/>
    </xf>
    <xf numFmtId="4" fontId="30" fillId="12" borderId="16" xfId="0" applyNumberFormat="1" applyFont="1" applyFill="1" applyBorder="1" applyAlignment="1">
      <alignment/>
    </xf>
    <xf numFmtId="4" fontId="0" fillId="0" borderId="10" xfId="0" applyNumberFormat="1" applyBorder="1" applyAlignment="1">
      <alignment horizontal="center" vertical="center"/>
    </xf>
    <xf numFmtId="0" fontId="40" fillId="37" borderId="10" xfId="0" applyFont="1" applyFill="1" applyBorder="1" applyAlignment="1">
      <alignment horizontal="right" vertical="center" wrapText="1"/>
    </xf>
    <xf numFmtId="4" fontId="40" fillId="37" borderId="10" xfId="0" applyNumberFormat="1" applyFont="1" applyFill="1" applyBorder="1" applyAlignment="1">
      <alignment horizontal="right"/>
    </xf>
    <xf numFmtId="4" fontId="115" fillId="42" borderId="10" xfId="0" applyNumberFormat="1" applyFont="1" applyFill="1" applyBorder="1" applyAlignment="1">
      <alignment horizontal="right"/>
    </xf>
    <xf numFmtId="4" fontId="40" fillId="42" borderId="10" xfId="0" applyNumberFormat="1" applyFont="1" applyFill="1" applyBorder="1" applyAlignment="1">
      <alignment horizontal="right"/>
    </xf>
    <xf numFmtId="4" fontId="125" fillId="47" borderId="10" xfId="0" applyNumberFormat="1" applyFont="1" applyFill="1" applyBorder="1" applyAlignment="1">
      <alignment horizontal="right" vertical="center"/>
    </xf>
    <xf numFmtId="0" fontId="22" fillId="47" borderId="10" xfId="0" applyFont="1" applyFill="1" applyBorder="1" applyAlignment="1">
      <alignment horizontal="right" vertical="center"/>
    </xf>
    <xf numFmtId="0" fontId="35" fillId="47" borderId="10" xfId="0" applyFont="1" applyFill="1" applyBorder="1" applyAlignment="1">
      <alignment horizontal="right" vertical="center"/>
    </xf>
    <xf numFmtId="4" fontId="142" fillId="50" borderId="16" xfId="0" applyNumberFormat="1" applyFont="1" applyFill="1" applyBorder="1" applyAlignment="1">
      <alignment/>
    </xf>
    <xf numFmtId="0" fontId="40" fillId="45" borderId="10" xfId="0" applyFont="1" applyFill="1" applyBorder="1" applyAlignment="1">
      <alignment horizontal="center" vertical="center" wrapText="1"/>
    </xf>
    <xf numFmtId="4" fontId="40" fillId="45" borderId="10" xfId="0" applyNumberFormat="1" applyFont="1" applyFill="1" applyBorder="1" applyAlignment="1">
      <alignment/>
    </xf>
    <xf numFmtId="4" fontId="40" fillId="45" borderId="14" xfId="0" applyNumberFormat="1" applyFont="1" applyFill="1" applyBorder="1" applyAlignment="1">
      <alignment/>
    </xf>
    <xf numFmtId="4" fontId="23" fillId="45" borderId="14" xfId="0" applyNumberFormat="1" applyFont="1" applyFill="1" applyBorder="1" applyAlignment="1">
      <alignment/>
    </xf>
    <xf numFmtId="0" fontId="40" fillId="6" borderId="10" xfId="0" applyFont="1" applyFill="1" applyBorder="1" applyAlignment="1">
      <alignment wrapText="1"/>
    </xf>
    <xf numFmtId="4" fontId="115" fillId="6" borderId="10" xfId="0" applyNumberFormat="1" applyFont="1" applyFill="1" applyBorder="1" applyAlignment="1">
      <alignment/>
    </xf>
    <xf numFmtId="4" fontId="115" fillId="6" borderId="14" xfId="0" applyNumberFormat="1" applyFont="1" applyFill="1" applyBorder="1" applyAlignment="1">
      <alignment/>
    </xf>
    <xf numFmtId="4" fontId="126" fillId="6" borderId="10" xfId="0" applyNumberFormat="1" applyFont="1" applyFill="1" applyBorder="1" applyAlignment="1">
      <alignment/>
    </xf>
    <xf numFmtId="4" fontId="126" fillId="6" borderId="14" xfId="0" applyNumberFormat="1" applyFont="1" applyFill="1" applyBorder="1" applyAlignment="1">
      <alignment/>
    </xf>
    <xf numFmtId="3" fontId="0" fillId="64" borderId="10" xfId="0" applyNumberFormat="1" applyFill="1" applyBorder="1" applyAlignment="1">
      <alignment horizontal="center" vertical="center"/>
    </xf>
    <xf numFmtId="0" fontId="117" fillId="6" borderId="16" xfId="0" applyFont="1" applyFill="1" applyBorder="1" applyAlignment="1">
      <alignment horizontal="right" vertical="center" wrapText="1"/>
    </xf>
    <xf numFmtId="4" fontId="117" fillId="58" borderId="10" xfId="0" applyNumberFormat="1" applyFont="1" applyFill="1" applyBorder="1" applyAlignment="1">
      <alignment/>
    </xf>
    <xf numFmtId="4" fontId="126" fillId="17" borderId="10" xfId="0" applyNumberFormat="1" applyFont="1" applyFill="1" applyBorder="1" applyAlignment="1">
      <alignment/>
    </xf>
    <xf numFmtId="4" fontId="126" fillId="17" borderId="10" xfId="0" applyNumberFormat="1" applyFont="1" applyFill="1" applyBorder="1" applyAlignment="1">
      <alignment horizontal="center" vertical="center"/>
    </xf>
    <xf numFmtId="4" fontId="126" fillId="46" borderId="25" xfId="0" applyNumberFormat="1" applyFont="1" applyFill="1" applyBorder="1" applyAlignment="1">
      <alignment horizontal="center" vertical="center"/>
    </xf>
    <xf numFmtId="4" fontId="126" fillId="46" borderId="10" xfId="0" applyNumberFormat="1" applyFont="1" applyFill="1" applyBorder="1" applyAlignment="1">
      <alignment horizontal="right"/>
    </xf>
    <xf numFmtId="4" fontId="125" fillId="46" borderId="10" xfId="0" applyNumberFormat="1" applyFont="1" applyFill="1" applyBorder="1" applyAlignment="1">
      <alignment horizontal="center"/>
    </xf>
    <xf numFmtId="4" fontId="125" fillId="46" borderId="10" xfId="0" applyNumberFormat="1" applyFont="1" applyFill="1" applyBorder="1" applyAlignment="1">
      <alignment horizontal="center" vertical="center"/>
    </xf>
    <xf numFmtId="4" fontId="117" fillId="46" borderId="10" xfId="0" applyNumberFormat="1" applyFont="1" applyFill="1" applyBorder="1" applyAlignment="1">
      <alignment horizontal="center"/>
    </xf>
    <xf numFmtId="4" fontId="126" fillId="42" borderId="10" xfId="0" applyNumberFormat="1" applyFont="1" applyFill="1" applyBorder="1" applyAlignment="1">
      <alignment horizontal="right" vertical="center"/>
    </xf>
    <xf numFmtId="4" fontId="126" fillId="37" borderId="10" xfId="0" applyNumberFormat="1" applyFont="1" applyFill="1" applyBorder="1" applyAlignment="1">
      <alignment horizontal="right"/>
    </xf>
    <xf numFmtId="2" fontId="142" fillId="61" borderId="22" xfId="0" applyNumberFormat="1" applyFont="1" applyFill="1" applyBorder="1" applyAlignment="1">
      <alignment/>
    </xf>
    <xf numFmtId="2" fontId="142" fillId="55" borderId="22" xfId="0" applyNumberFormat="1" applyFont="1" applyFill="1" applyBorder="1" applyAlignment="1">
      <alignment/>
    </xf>
    <xf numFmtId="0" fontId="125" fillId="39" borderId="10" xfId="0" applyFont="1" applyFill="1" applyBorder="1" applyAlignment="1">
      <alignment horizontal="center" vertical="center"/>
    </xf>
    <xf numFmtId="4" fontId="23" fillId="6" borderId="10" xfId="0" applyNumberFormat="1" applyFont="1" applyFill="1" applyBorder="1" applyAlignment="1">
      <alignment horizontal="right"/>
    </xf>
    <xf numFmtId="4" fontId="40" fillId="6" borderId="10" xfId="0" applyNumberFormat="1" applyFont="1" applyFill="1" applyBorder="1" applyAlignment="1">
      <alignment horizontal="right"/>
    </xf>
    <xf numFmtId="4" fontId="126" fillId="63" borderId="10" xfId="0" applyNumberFormat="1" applyFont="1" applyFill="1" applyBorder="1" applyAlignment="1">
      <alignment horizontal="right" vertical="center"/>
    </xf>
    <xf numFmtId="4" fontId="126" fillId="63" borderId="10" xfId="0" applyNumberFormat="1" applyFont="1" applyFill="1" applyBorder="1" applyAlignment="1">
      <alignment horizontal="center"/>
    </xf>
    <xf numFmtId="0" fontId="23" fillId="61" borderId="10" xfId="0" applyFont="1" applyFill="1" applyBorder="1" applyAlignment="1">
      <alignment horizontal="center" vertical="center" wrapText="1"/>
    </xf>
    <xf numFmtId="4" fontId="126" fillId="61" borderId="25" xfId="0" applyNumberFormat="1" applyFont="1" applyFill="1" applyBorder="1" applyAlignment="1">
      <alignment horizontal="center" vertical="center"/>
    </xf>
    <xf numFmtId="4" fontId="126" fillId="61" borderId="10" xfId="0" applyNumberFormat="1" applyFont="1" applyFill="1" applyBorder="1" applyAlignment="1">
      <alignment horizontal="center"/>
    </xf>
    <xf numFmtId="4" fontId="115" fillId="61" borderId="10" xfId="0" applyNumberFormat="1" applyFont="1" applyFill="1" applyBorder="1" applyAlignment="1">
      <alignment horizontal="center"/>
    </xf>
    <xf numFmtId="0" fontId="156" fillId="0" borderId="10" xfId="0" applyFont="1" applyBorder="1" applyAlignment="1">
      <alignment/>
    </xf>
    <xf numFmtId="2" fontId="141" fillId="46" borderId="10" xfId="0" applyNumberFormat="1" applyFont="1" applyFill="1" applyBorder="1" applyAlignment="1">
      <alignment/>
    </xf>
    <xf numFmtId="2" fontId="106" fillId="67" borderId="10" xfId="0" applyNumberFormat="1" applyFont="1" applyFill="1" applyBorder="1" applyAlignment="1">
      <alignment horizontal="center" vertical="center"/>
    </xf>
    <xf numFmtId="2" fontId="142" fillId="0" borderId="10" xfId="0" applyNumberFormat="1" applyFont="1" applyBorder="1" applyAlignment="1">
      <alignment/>
    </xf>
    <xf numFmtId="4" fontId="0" fillId="48" borderId="10" xfId="0" applyNumberFormat="1" applyFill="1" applyBorder="1" applyAlignment="1">
      <alignment/>
    </xf>
    <xf numFmtId="4" fontId="0" fillId="48" borderId="13" xfId="0" applyNumberFormat="1" applyFill="1" applyBorder="1" applyAlignment="1">
      <alignment/>
    </xf>
    <xf numFmtId="4" fontId="0" fillId="8" borderId="10" xfId="0" applyNumberFormat="1" applyFill="1" applyBorder="1" applyAlignment="1">
      <alignment/>
    </xf>
    <xf numFmtId="4" fontId="0" fillId="8" borderId="13" xfId="0" applyNumberFormat="1" applyFill="1" applyBorder="1" applyAlignment="1">
      <alignment/>
    </xf>
    <xf numFmtId="4" fontId="0" fillId="50" borderId="10" xfId="0" applyNumberFormat="1" applyFill="1" applyBorder="1" applyAlignment="1">
      <alignment/>
    </xf>
    <xf numFmtId="4" fontId="0" fillId="50" borderId="13" xfId="0" applyNumberFormat="1" applyFill="1" applyBorder="1" applyAlignment="1">
      <alignment/>
    </xf>
    <xf numFmtId="0" fontId="0" fillId="48" borderId="10" xfId="0" applyFill="1" applyBorder="1" applyAlignment="1">
      <alignment/>
    </xf>
    <xf numFmtId="0" fontId="0" fillId="48" borderId="13" xfId="0" applyFill="1" applyBorder="1" applyAlignment="1">
      <alignment/>
    </xf>
    <xf numFmtId="4" fontId="0" fillId="48" borderId="14" xfId="0" applyNumberFormat="1" applyFill="1" applyBorder="1" applyAlignment="1">
      <alignment/>
    </xf>
    <xf numFmtId="4" fontId="0" fillId="48" borderId="51" xfId="0" applyNumberFormat="1" applyFill="1" applyBorder="1" applyAlignment="1">
      <alignment/>
    </xf>
    <xf numFmtId="0" fontId="23" fillId="48" borderId="10" xfId="0" applyFont="1" applyFill="1" applyBorder="1" applyAlignment="1">
      <alignment horizontal="center" vertical="center" wrapText="1"/>
    </xf>
    <xf numFmtId="4" fontId="126" fillId="48" borderId="10" xfId="0" applyNumberFormat="1" applyFont="1" applyFill="1" applyBorder="1" applyAlignment="1">
      <alignment horizontal="center"/>
    </xf>
    <xf numFmtId="4" fontId="126" fillId="61" borderId="10" xfId="0" applyNumberFormat="1" applyFont="1" applyFill="1" applyBorder="1" applyAlignment="1">
      <alignment/>
    </xf>
    <xf numFmtId="4" fontId="40" fillId="61" borderId="10" xfId="0" applyNumberFormat="1" applyFont="1" applyFill="1" applyBorder="1" applyAlignment="1">
      <alignment/>
    </xf>
    <xf numFmtId="4" fontId="126" fillId="61" borderId="14" xfId="0" applyNumberFormat="1" applyFont="1" applyFill="1" applyBorder="1" applyAlignment="1">
      <alignment/>
    </xf>
    <xf numFmtId="0" fontId="23" fillId="6" borderId="10" xfId="0" applyFont="1" applyFill="1" applyBorder="1" applyAlignment="1">
      <alignment horizontal="center" vertical="center" wrapText="1"/>
    </xf>
    <xf numFmtId="4" fontId="126" fillId="6" borderId="10" xfId="0" applyNumberFormat="1" applyFont="1" applyFill="1" applyBorder="1" applyAlignment="1">
      <alignment horizontal="center"/>
    </xf>
    <xf numFmtId="4" fontId="115" fillId="6" borderId="10" xfId="0" applyNumberFormat="1" applyFont="1" applyFill="1" applyBorder="1" applyAlignment="1">
      <alignment horizontal="center"/>
    </xf>
    <xf numFmtId="4" fontId="115" fillId="7" borderId="10" xfId="0" applyNumberFormat="1" applyFont="1" applyFill="1" applyBorder="1" applyAlignment="1">
      <alignment horizontal="center"/>
    </xf>
    <xf numFmtId="4" fontId="115" fillId="7" borderId="14" xfId="0" applyNumberFormat="1" applyFont="1" applyFill="1" applyBorder="1" applyAlignment="1">
      <alignment/>
    </xf>
    <xf numFmtId="0" fontId="115" fillId="7" borderId="10" xfId="0" applyFont="1" applyFill="1" applyBorder="1" applyAlignment="1">
      <alignment horizontal="center" vertical="center"/>
    </xf>
    <xf numFmtId="4" fontId="126" fillId="7" borderId="10" xfId="0" applyNumberFormat="1" applyFont="1" applyFill="1" applyBorder="1" applyAlignment="1">
      <alignment/>
    </xf>
    <xf numFmtId="0" fontId="115" fillId="61" borderId="16" xfId="0" applyFont="1" applyFill="1" applyBorder="1" applyAlignment="1">
      <alignment horizontal="right" vertical="center" wrapText="1"/>
    </xf>
    <xf numFmtId="4" fontId="122" fillId="61" borderId="10" xfId="0" applyNumberFormat="1" applyFont="1" applyFill="1" applyBorder="1" applyAlignment="1">
      <alignment/>
    </xf>
    <xf numFmtId="4" fontId="115" fillId="61" borderId="10" xfId="0" applyNumberFormat="1" applyFont="1" applyFill="1" applyBorder="1" applyAlignment="1">
      <alignment/>
    </xf>
    <xf numFmtId="4" fontId="122" fillId="61" borderId="14" xfId="0" applyNumberFormat="1" applyFont="1" applyFill="1" applyBorder="1" applyAlignment="1">
      <alignment/>
    </xf>
    <xf numFmtId="0" fontId="122" fillId="61" borderId="10" xfId="0" applyFont="1" applyFill="1" applyBorder="1" applyAlignment="1">
      <alignment/>
    </xf>
    <xf numFmtId="0" fontId="115" fillId="61" borderId="10" xfId="0" applyFont="1" applyFill="1" applyBorder="1" applyAlignment="1">
      <alignment/>
    </xf>
    <xf numFmtId="0" fontId="122" fillId="61" borderId="10" xfId="0" applyFont="1" applyFill="1" applyBorder="1" applyAlignment="1">
      <alignment horizontal="right" vertical="top"/>
    </xf>
    <xf numFmtId="0" fontId="115" fillId="61" borderId="10" xfId="0" applyFont="1" applyFill="1" applyBorder="1" applyAlignment="1">
      <alignment horizontal="right" vertical="top"/>
    </xf>
    <xf numFmtId="0" fontId="152" fillId="0" borderId="30" xfId="0" applyFont="1" applyFill="1" applyBorder="1" applyAlignment="1">
      <alignment horizontal="center" vertical="center" wrapText="1"/>
    </xf>
    <xf numFmtId="4" fontId="25" fillId="7" borderId="10" xfId="0" applyNumberFormat="1" applyFont="1" applyFill="1" applyBorder="1" applyAlignment="1">
      <alignment horizontal="center"/>
    </xf>
    <xf numFmtId="0" fontId="135" fillId="41" borderId="10" xfId="0" applyFont="1" applyFill="1" applyBorder="1" applyAlignment="1">
      <alignment horizontal="center"/>
    </xf>
    <xf numFmtId="4" fontId="22" fillId="41" borderId="10" xfId="0" applyNumberFormat="1" applyFont="1" applyFill="1" applyBorder="1" applyAlignment="1">
      <alignment horizontal="center" vertical="center"/>
    </xf>
    <xf numFmtId="2" fontId="22" fillId="41" borderId="10" xfId="0" applyNumberFormat="1" applyFont="1" applyFill="1" applyBorder="1" applyAlignment="1">
      <alignment horizontal="center" vertical="center"/>
    </xf>
    <xf numFmtId="0" fontId="22" fillId="41" borderId="10" xfId="0" applyFont="1" applyFill="1" applyBorder="1" applyAlignment="1">
      <alignment horizontal="center" vertical="center"/>
    </xf>
    <xf numFmtId="0" fontId="135" fillId="41" borderId="0" xfId="0" applyFont="1" applyFill="1" applyBorder="1" applyAlignment="1">
      <alignment horizontal="center"/>
    </xf>
    <xf numFmtId="4" fontId="22" fillId="41" borderId="0" xfId="0" applyNumberFormat="1" applyFont="1" applyFill="1" applyBorder="1" applyAlignment="1">
      <alignment horizontal="center" vertical="center"/>
    </xf>
    <xf numFmtId="2" fontId="22" fillId="41" borderId="66" xfId="0" applyNumberFormat="1" applyFont="1" applyFill="1" applyBorder="1" applyAlignment="1">
      <alignment horizontal="center" vertical="center"/>
    </xf>
    <xf numFmtId="0" fontId="22" fillId="41" borderId="66" xfId="0" applyFont="1" applyFill="1" applyBorder="1" applyAlignment="1">
      <alignment horizontal="center" vertical="center"/>
    </xf>
    <xf numFmtId="4" fontId="22" fillId="41" borderId="66" xfId="0" applyNumberFormat="1" applyFont="1" applyFill="1" applyBorder="1" applyAlignment="1">
      <alignment horizontal="center" vertical="center"/>
    </xf>
    <xf numFmtId="2" fontId="134" fillId="41" borderId="10" xfId="0" applyNumberFormat="1" applyFont="1" applyFill="1" applyBorder="1" applyAlignment="1">
      <alignment horizontal="center" vertical="center"/>
    </xf>
    <xf numFmtId="4" fontId="125" fillId="41" borderId="10" xfId="0" applyNumberFormat="1" applyFont="1" applyFill="1" applyBorder="1" applyAlignment="1">
      <alignment horizontal="center" vertical="center"/>
    </xf>
    <xf numFmtId="4" fontId="22" fillId="41" borderId="12" xfId="0" applyNumberFormat="1" applyFont="1" applyFill="1" applyBorder="1" applyAlignment="1">
      <alignment horizontal="center" vertical="center"/>
    </xf>
    <xf numFmtId="4" fontId="22" fillId="41" borderId="16" xfId="0" applyNumberFormat="1" applyFont="1" applyFill="1" applyBorder="1" applyAlignment="1">
      <alignment horizontal="center" vertical="center"/>
    </xf>
    <xf numFmtId="0" fontId="22" fillId="41" borderId="16" xfId="0" applyFont="1" applyFill="1" applyBorder="1" applyAlignment="1">
      <alignment horizontal="center" vertical="center"/>
    </xf>
    <xf numFmtId="4" fontId="125" fillId="41" borderId="0" xfId="0" applyNumberFormat="1" applyFont="1" applyFill="1" applyBorder="1" applyAlignment="1">
      <alignment horizontal="center" vertical="center"/>
    </xf>
    <xf numFmtId="0" fontId="11" fillId="41" borderId="10" xfId="0" applyFont="1" applyFill="1" applyBorder="1" applyAlignment="1">
      <alignment/>
    </xf>
    <xf numFmtId="4" fontId="11" fillId="41" borderId="10" xfId="0" applyNumberFormat="1" applyFont="1" applyFill="1" applyBorder="1" applyAlignment="1">
      <alignment/>
    </xf>
    <xf numFmtId="4" fontId="22" fillId="41" borderId="10" xfId="0" applyNumberFormat="1" applyFont="1" applyFill="1" applyBorder="1" applyAlignment="1">
      <alignment vertical="center" wrapText="1"/>
    </xf>
    <xf numFmtId="4" fontId="22" fillId="41" borderId="10" xfId="0" applyNumberFormat="1" applyFont="1" applyFill="1" applyBorder="1" applyAlignment="1">
      <alignment horizontal="center"/>
    </xf>
    <xf numFmtId="4" fontId="11" fillId="41" borderId="10" xfId="0" applyNumberFormat="1" applyFont="1" applyFill="1" applyBorder="1" applyAlignment="1">
      <alignment horizontal="center" vertical="center" wrapText="1"/>
    </xf>
    <xf numFmtId="4" fontId="152" fillId="41" borderId="10" xfId="0" applyNumberFormat="1" applyFont="1" applyFill="1" applyBorder="1" applyAlignment="1">
      <alignment horizontal="center" vertical="center"/>
    </xf>
    <xf numFmtId="4" fontId="23" fillId="41" borderId="10" xfId="0" applyNumberFormat="1" applyFont="1" applyFill="1" applyBorder="1" applyAlignment="1">
      <alignment horizontal="center"/>
    </xf>
    <xf numFmtId="4" fontId="3" fillId="41" borderId="10" xfId="0" applyNumberFormat="1" applyFont="1" applyFill="1" applyBorder="1" applyAlignment="1">
      <alignment/>
    </xf>
    <xf numFmtId="4" fontId="126" fillId="41" borderId="25" xfId="0" applyNumberFormat="1" applyFont="1" applyFill="1" applyBorder="1" applyAlignment="1">
      <alignment horizontal="center" vertical="center"/>
    </xf>
    <xf numFmtId="4" fontId="126" fillId="41" borderId="10" xfId="0" applyNumberFormat="1" applyFont="1" applyFill="1" applyBorder="1" applyAlignment="1">
      <alignment horizontal="center"/>
    </xf>
    <xf numFmtId="4" fontId="25" fillId="41" borderId="10" xfId="0" applyNumberFormat="1" applyFont="1" applyFill="1" applyBorder="1" applyAlignment="1">
      <alignment horizontal="center"/>
    </xf>
    <xf numFmtId="4" fontId="125" fillId="41" borderId="64" xfId="0" applyNumberFormat="1" applyFont="1" applyFill="1" applyBorder="1" applyAlignment="1">
      <alignment horizontal="center" vertical="center"/>
    </xf>
    <xf numFmtId="4" fontId="125" fillId="41" borderId="21" xfId="0" applyNumberFormat="1" applyFont="1" applyFill="1" applyBorder="1" applyAlignment="1">
      <alignment horizontal="center" vertical="center"/>
    </xf>
    <xf numFmtId="4" fontId="126" fillId="41" borderId="11" xfId="0" applyNumberFormat="1" applyFont="1" applyFill="1" applyBorder="1" applyAlignment="1">
      <alignment horizontal="center" vertical="center"/>
    </xf>
    <xf numFmtId="4" fontId="126" fillId="41" borderId="10" xfId="0" applyNumberFormat="1" applyFont="1" applyFill="1" applyBorder="1" applyAlignment="1">
      <alignment horizontal="center" vertical="center"/>
    </xf>
    <xf numFmtId="4" fontId="118" fillId="11" borderId="10" xfId="0" applyNumberFormat="1" applyFont="1" applyFill="1" applyBorder="1" applyAlignment="1">
      <alignment/>
    </xf>
    <xf numFmtId="4" fontId="6" fillId="48" borderId="31" xfId="0" applyNumberFormat="1" applyFont="1" applyFill="1" applyBorder="1" applyAlignment="1">
      <alignment/>
    </xf>
    <xf numFmtId="4" fontId="22" fillId="48" borderId="10" xfId="0" applyNumberFormat="1" applyFont="1" applyFill="1" applyBorder="1" applyAlignment="1">
      <alignment horizontal="center" vertical="center"/>
    </xf>
    <xf numFmtId="0" fontId="22" fillId="48" borderId="10" xfId="0" applyFont="1" applyFill="1" applyBorder="1" applyAlignment="1">
      <alignment horizontal="center" vertical="center"/>
    </xf>
    <xf numFmtId="4" fontId="106" fillId="41" borderId="33" xfId="0" applyNumberFormat="1" applyFont="1" applyFill="1" applyBorder="1" applyAlignment="1">
      <alignment/>
    </xf>
    <xf numFmtId="4" fontId="17" fillId="57" borderId="30" xfId="0" applyNumberFormat="1" applyFont="1" applyFill="1" applyBorder="1" applyAlignment="1">
      <alignment/>
    </xf>
    <xf numFmtId="0" fontId="11" fillId="41" borderId="71" xfId="0" applyFont="1" applyFill="1" applyBorder="1" applyAlignment="1">
      <alignment vertical="center" wrapText="1"/>
    </xf>
    <xf numFmtId="4" fontId="126" fillId="6" borderId="10" xfId="0" applyNumberFormat="1" applyFont="1" applyFill="1" applyBorder="1" applyAlignment="1">
      <alignment horizontal="center" vertical="center"/>
    </xf>
    <xf numFmtId="0" fontId="0" fillId="53" borderId="0" xfId="0" applyFill="1" applyBorder="1" applyAlignment="1">
      <alignment horizontal="center"/>
    </xf>
    <xf numFmtId="0" fontId="139" fillId="0" borderId="0" xfId="0" applyFont="1" applyAlignment="1">
      <alignment/>
    </xf>
    <xf numFmtId="0" fontId="142" fillId="0" borderId="0" xfId="0" applyFont="1" applyAlignment="1">
      <alignment horizontal="center"/>
    </xf>
    <xf numFmtId="0" fontId="36" fillId="0" borderId="59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142" fillId="19" borderId="29" xfId="0" applyFont="1" applyFill="1" applyBorder="1" applyAlignment="1">
      <alignment horizontal="center" vertical="center" wrapText="1"/>
    </xf>
    <xf numFmtId="0" fontId="142" fillId="19" borderId="19" xfId="0" applyFont="1" applyFill="1" applyBorder="1" applyAlignment="1">
      <alignment horizontal="center" vertical="center" wrapText="1"/>
    </xf>
    <xf numFmtId="0" fontId="142" fillId="8" borderId="29" xfId="0" applyFont="1" applyFill="1" applyBorder="1" applyAlignment="1">
      <alignment horizontal="center" vertical="center" wrapText="1"/>
    </xf>
    <xf numFmtId="0" fontId="142" fillId="8" borderId="19" xfId="0" applyFont="1" applyFill="1" applyBorder="1" applyAlignment="1">
      <alignment horizontal="center" vertical="center" wrapText="1"/>
    </xf>
    <xf numFmtId="17" fontId="142" fillId="0" borderId="52" xfId="0" applyNumberFormat="1" applyFont="1" applyBorder="1" applyAlignment="1">
      <alignment horizontal="center" vertical="center" wrapText="1"/>
    </xf>
    <xf numFmtId="0" fontId="142" fillId="0" borderId="28" xfId="0" applyFont="1" applyBorder="1" applyAlignment="1">
      <alignment horizontal="center" vertical="center" wrapText="1"/>
    </xf>
    <xf numFmtId="0" fontId="143" fillId="0" borderId="10" xfId="0" applyFont="1" applyBorder="1" applyAlignment="1">
      <alignment horizontal="center" vertical="center" wrapText="1"/>
    </xf>
    <xf numFmtId="0" fontId="142" fillId="0" borderId="29" xfId="0" applyFont="1" applyBorder="1" applyAlignment="1">
      <alignment horizontal="center" vertical="center" wrapText="1"/>
    </xf>
    <xf numFmtId="0" fontId="142" fillId="0" borderId="30" xfId="0" applyFont="1" applyBorder="1" applyAlignment="1">
      <alignment horizontal="center" vertical="center" wrapText="1"/>
    </xf>
    <xf numFmtId="0" fontId="137" fillId="0" borderId="0" xfId="0" applyFont="1" applyBorder="1" applyAlignment="1">
      <alignment horizontal="center" wrapText="1"/>
    </xf>
    <xf numFmtId="0" fontId="164" fillId="53" borderId="0" xfId="0" applyFont="1" applyFill="1" applyBorder="1" applyAlignment="1">
      <alignment horizontal="center" wrapText="1"/>
    </xf>
    <xf numFmtId="0" fontId="0" fillId="53" borderId="0" xfId="0" applyFill="1" applyBorder="1" applyAlignment="1">
      <alignment horizontal="center" wrapText="1"/>
    </xf>
    <xf numFmtId="0" fontId="142" fillId="0" borderId="19" xfId="0" applyFont="1" applyBorder="1" applyAlignment="1">
      <alignment horizontal="center" vertical="center" wrapText="1"/>
    </xf>
    <xf numFmtId="0" fontId="165" fillId="53" borderId="0" xfId="0" applyFont="1" applyFill="1" applyBorder="1" applyAlignment="1">
      <alignment horizontal="center"/>
    </xf>
    <xf numFmtId="0" fontId="166" fillId="0" borderId="0" xfId="0" applyFont="1" applyBorder="1" applyAlignment="1">
      <alignment horizontal="center"/>
    </xf>
    <xf numFmtId="0" fontId="163" fillId="0" borderId="0" xfId="0" applyFont="1" applyBorder="1" applyAlignment="1">
      <alignment horizontal="center"/>
    </xf>
    <xf numFmtId="0" fontId="106" fillId="0" borderId="0" xfId="0" applyFont="1" applyBorder="1" applyAlignment="1">
      <alignment horizontal="center"/>
    </xf>
    <xf numFmtId="0" fontId="143" fillId="0" borderId="0" xfId="0" applyFont="1" applyBorder="1" applyAlignment="1">
      <alignment horizontal="center" wrapText="1"/>
    </xf>
    <xf numFmtId="0" fontId="118" fillId="58" borderId="64" xfId="0" applyFont="1" applyFill="1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22" fillId="7" borderId="10" xfId="0" applyFont="1" applyFill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8" fillId="41" borderId="64" xfId="0" applyFont="1" applyFill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63" xfId="0" applyBorder="1" applyAlignment="1">
      <alignment horizontal="center"/>
    </xf>
    <xf numFmtId="0" fontId="11" fillId="41" borderId="25" xfId="0" applyFont="1" applyFill="1" applyBorder="1" applyAlignment="1">
      <alignment horizontal="center" vertical="center"/>
    </xf>
    <xf numFmtId="0" fontId="11" fillId="41" borderId="13" xfId="0" applyFont="1" applyFill="1" applyBorder="1" applyAlignment="1">
      <alignment horizontal="center" vertical="center"/>
    </xf>
    <xf numFmtId="0" fontId="11" fillId="41" borderId="11" xfId="0" applyFont="1" applyFill="1" applyBorder="1" applyAlignment="1">
      <alignment horizontal="center" vertical="center"/>
    </xf>
    <xf numFmtId="0" fontId="11" fillId="41" borderId="39" xfId="0" applyFont="1" applyFill="1" applyBorder="1" applyAlignment="1">
      <alignment horizontal="center" vertical="center"/>
    </xf>
    <xf numFmtId="0" fontId="11" fillId="41" borderId="73" xfId="0" applyFont="1" applyFill="1" applyBorder="1" applyAlignment="1">
      <alignment horizontal="center" vertical="center"/>
    </xf>
    <xf numFmtId="0" fontId="11" fillId="41" borderId="17" xfId="0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1" fillId="45" borderId="25" xfId="0" applyFont="1" applyFill="1" applyBorder="1" applyAlignment="1">
      <alignment horizontal="center" vertical="center" wrapText="1"/>
    </xf>
    <xf numFmtId="0" fontId="11" fillId="45" borderId="13" xfId="0" applyFont="1" applyFill="1" applyBorder="1" applyAlignment="1">
      <alignment horizontal="center" vertical="center" wrapText="1"/>
    </xf>
    <xf numFmtId="0" fontId="11" fillId="45" borderId="74" xfId="0" applyFont="1" applyFill="1" applyBorder="1" applyAlignment="1">
      <alignment horizontal="center" vertical="center" wrapText="1"/>
    </xf>
    <xf numFmtId="0" fontId="142" fillId="0" borderId="25" xfId="0" applyFont="1" applyBorder="1" applyAlignment="1">
      <alignment horizontal="center" vertical="center"/>
    </xf>
    <xf numFmtId="0" fontId="142" fillId="0" borderId="13" xfId="0" applyFont="1" applyBorder="1" applyAlignment="1">
      <alignment horizontal="center" vertical="center"/>
    </xf>
    <xf numFmtId="0" fontId="142" fillId="0" borderId="11" xfId="0" applyFont="1" applyBorder="1" applyAlignment="1">
      <alignment horizontal="center" vertical="center"/>
    </xf>
    <xf numFmtId="0" fontId="11" fillId="45" borderId="11" xfId="0" applyFont="1" applyFill="1" applyBorder="1" applyAlignment="1">
      <alignment horizontal="center" vertical="center" wrapText="1"/>
    </xf>
    <xf numFmtId="0" fontId="118" fillId="41" borderId="64" xfId="0" applyFont="1" applyFill="1" applyBorder="1" applyAlignment="1">
      <alignment horizontal="center" vertical="center"/>
    </xf>
    <xf numFmtId="0" fontId="118" fillId="41" borderId="72" xfId="0" applyFont="1" applyFill="1" applyBorder="1" applyAlignment="1">
      <alignment horizontal="center" vertical="center"/>
    </xf>
    <xf numFmtId="0" fontId="11" fillId="46" borderId="25" xfId="0" applyFont="1" applyFill="1" applyBorder="1" applyAlignment="1">
      <alignment horizontal="center" vertical="center" wrapText="1"/>
    </xf>
    <xf numFmtId="0" fontId="11" fillId="46" borderId="13" xfId="0" applyFont="1" applyFill="1" applyBorder="1" applyAlignment="1">
      <alignment horizontal="center" vertical="center" wrapText="1"/>
    </xf>
    <xf numFmtId="0" fontId="11" fillId="46" borderId="11" xfId="0" applyFont="1" applyFill="1" applyBorder="1" applyAlignment="1">
      <alignment horizontal="center" vertical="center" wrapText="1"/>
    </xf>
    <xf numFmtId="0" fontId="22" fillId="45" borderId="25" xfId="0" applyFont="1" applyFill="1" applyBorder="1" applyAlignment="1">
      <alignment horizontal="center" vertical="center" wrapText="1"/>
    </xf>
    <xf numFmtId="0" fontId="22" fillId="45" borderId="13" xfId="0" applyFont="1" applyFill="1" applyBorder="1" applyAlignment="1">
      <alignment horizontal="center" vertical="center" wrapText="1"/>
    </xf>
    <xf numFmtId="0" fontId="22" fillId="45" borderId="11" xfId="0" applyFont="1" applyFill="1" applyBorder="1" applyAlignment="1">
      <alignment horizontal="center" vertical="center" wrapText="1"/>
    </xf>
    <xf numFmtId="0" fontId="22" fillId="46" borderId="25" xfId="0" applyFont="1" applyFill="1" applyBorder="1" applyAlignment="1">
      <alignment horizontal="center" vertical="center" wrapText="1"/>
    </xf>
    <xf numFmtId="0" fontId="22" fillId="46" borderId="13" xfId="0" applyFont="1" applyFill="1" applyBorder="1" applyAlignment="1">
      <alignment horizontal="center" vertical="center" wrapText="1"/>
    </xf>
    <xf numFmtId="0" fontId="22" fillId="46" borderId="11" xfId="0" applyFont="1" applyFill="1" applyBorder="1" applyAlignment="1">
      <alignment horizontal="center" vertical="center" wrapText="1"/>
    </xf>
    <xf numFmtId="0" fontId="22" fillId="6" borderId="16" xfId="0" applyFont="1" applyFill="1" applyBorder="1" applyAlignment="1">
      <alignment horizontal="center" vertical="center" wrapText="1"/>
    </xf>
    <xf numFmtId="0" fontId="118" fillId="41" borderId="10" xfId="0" applyFont="1" applyFill="1" applyBorder="1" applyAlignment="1">
      <alignment horizontal="center"/>
    </xf>
    <xf numFmtId="0" fontId="11" fillId="39" borderId="25" xfId="0" applyFont="1" applyFill="1" applyBorder="1" applyAlignment="1">
      <alignment horizontal="center" vertical="center"/>
    </xf>
    <xf numFmtId="0" fontId="11" fillId="39" borderId="13" xfId="0" applyFont="1" applyFill="1" applyBorder="1" applyAlignment="1">
      <alignment horizontal="center" vertical="center"/>
    </xf>
    <xf numFmtId="0" fontId="11" fillId="39" borderId="11" xfId="0" applyFont="1" applyFill="1" applyBorder="1" applyAlignment="1">
      <alignment horizontal="center" vertical="center"/>
    </xf>
    <xf numFmtId="0" fontId="11" fillId="40" borderId="10" xfId="0" applyFont="1" applyFill="1" applyBorder="1" applyAlignment="1">
      <alignment horizontal="center" vertical="center" wrapText="1"/>
    </xf>
    <xf numFmtId="0" fontId="22" fillId="41" borderId="25" xfId="0" applyFont="1" applyFill="1" applyBorder="1" applyAlignment="1">
      <alignment horizontal="center" vertical="center"/>
    </xf>
    <xf numFmtId="0" fontId="22" fillId="41" borderId="13" xfId="0" applyFont="1" applyFill="1" applyBorder="1" applyAlignment="1">
      <alignment horizontal="center" vertical="center"/>
    </xf>
    <xf numFmtId="0" fontId="22" fillId="41" borderId="11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 wrapText="1"/>
    </xf>
    <xf numFmtId="0" fontId="11" fillId="45" borderId="10" xfId="0" applyFont="1" applyFill="1" applyBorder="1" applyAlignment="1">
      <alignment horizontal="center" vertical="center" wrapText="1"/>
    </xf>
    <xf numFmtId="0" fontId="22" fillId="45" borderId="10" xfId="0" applyFont="1" applyFill="1" applyBorder="1" applyAlignment="1">
      <alignment horizontal="center" vertical="center" wrapText="1"/>
    </xf>
    <xf numFmtId="0" fontId="16" fillId="6" borderId="64" xfId="0" applyFont="1" applyFill="1" applyBorder="1" applyAlignment="1">
      <alignment horizontal="center" vertical="center" wrapText="1"/>
    </xf>
    <xf numFmtId="0" fontId="16" fillId="6" borderId="72" xfId="0" applyFont="1" applyFill="1" applyBorder="1" applyAlignment="1">
      <alignment horizontal="center" vertical="center" wrapText="1"/>
    </xf>
    <xf numFmtId="0" fontId="16" fillId="6" borderId="23" xfId="0" applyFont="1" applyFill="1" applyBorder="1" applyAlignment="1">
      <alignment horizontal="center" vertical="center" wrapText="1"/>
    </xf>
    <xf numFmtId="0" fontId="22" fillId="42" borderId="22" xfId="0" applyFont="1" applyFill="1" applyBorder="1" applyAlignment="1">
      <alignment horizontal="center" vertical="center" wrapText="1"/>
    </xf>
    <xf numFmtId="0" fontId="22" fillId="6" borderId="66" xfId="0" applyFont="1" applyFill="1" applyBorder="1" applyAlignment="1">
      <alignment horizontal="center" vertical="center" wrapText="1"/>
    </xf>
    <xf numFmtId="0" fontId="22" fillId="6" borderId="12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43" borderId="14" xfId="0" applyFont="1" applyFill="1" applyBorder="1" applyAlignment="1">
      <alignment horizontal="center" vertical="center" wrapText="1"/>
    </xf>
    <xf numFmtId="0" fontId="22" fillId="43" borderId="16" xfId="0" applyFont="1" applyFill="1" applyBorder="1" applyAlignment="1">
      <alignment horizontal="center" vertical="center" wrapText="1"/>
    </xf>
    <xf numFmtId="0" fontId="16" fillId="44" borderId="70" xfId="0" applyFont="1" applyFill="1" applyBorder="1" applyAlignment="1">
      <alignment horizontal="center" vertical="center" wrapText="1"/>
    </xf>
    <xf numFmtId="0" fontId="16" fillId="44" borderId="31" xfId="0" applyFont="1" applyFill="1" applyBorder="1" applyAlignment="1">
      <alignment horizontal="center" vertical="center" wrapText="1"/>
    </xf>
    <xf numFmtId="0" fontId="16" fillId="44" borderId="65" xfId="0" applyFont="1" applyFill="1" applyBorder="1" applyAlignment="1">
      <alignment horizontal="center" vertical="center" wrapText="1"/>
    </xf>
    <xf numFmtId="0" fontId="16" fillId="46" borderId="70" xfId="0" applyFont="1" applyFill="1" applyBorder="1" applyAlignment="1">
      <alignment horizontal="center" vertical="center" wrapText="1"/>
    </xf>
    <xf numFmtId="0" fontId="16" fillId="46" borderId="31" xfId="0" applyFont="1" applyFill="1" applyBorder="1" applyAlignment="1">
      <alignment horizontal="center" vertical="center" wrapText="1"/>
    </xf>
    <xf numFmtId="0" fontId="16" fillId="46" borderId="65" xfId="0" applyFont="1" applyFill="1" applyBorder="1" applyAlignment="1">
      <alignment horizontal="center" vertical="center" wrapText="1"/>
    </xf>
    <xf numFmtId="0" fontId="11" fillId="41" borderId="75" xfId="0" applyFont="1" applyFill="1" applyBorder="1" applyAlignment="1">
      <alignment horizontal="center" vertical="center" wrapText="1"/>
    </xf>
    <xf numFmtId="0" fontId="11" fillId="41" borderId="71" xfId="0" applyFont="1" applyFill="1" applyBorder="1" applyAlignment="1">
      <alignment horizontal="center" vertical="center" wrapText="1"/>
    </xf>
    <xf numFmtId="0" fontId="11" fillId="7" borderId="75" xfId="0" applyFont="1" applyFill="1" applyBorder="1" applyAlignment="1">
      <alignment horizontal="center" vertical="center" wrapText="1"/>
    </xf>
    <xf numFmtId="0" fontId="11" fillId="45" borderId="75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46" borderId="12" xfId="0" applyFont="1" applyFill="1" applyBorder="1" applyAlignment="1">
      <alignment horizontal="center" vertical="center" wrapText="1"/>
    </xf>
    <xf numFmtId="0" fontId="11" fillId="46" borderId="16" xfId="0" applyFont="1" applyFill="1" applyBorder="1" applyAlignment="1">
      <alignment horizontal="center" vertical="center" wrapText="1"/>
    </xf>
    <xf numFmtId="0" fontId="11" fillId="6" borderId="39" xfId="0" applyFont="1" applyFill="1" applyBorder="1" applyAlignment="1">
      <alignment horizontal="center" vertical="center" wrapText="1"/>
    </xf>
    <xf numFmtId="0" fontId="11" fillId="6" borderId="73" xfId="0" applyFont="1" applyFill="1" applyBorder="1" applyAlignment="1">
      <alignment horizontal="center" vertical="center" wrapText="1"/>
    </xf>
    <xf numFmtId="0" fontId="11" fillId="6" borderId="76" xfId="0" applyFont="1" applyFill="1" applyBorder="1" applyAlignment="1">
      <alignment horizontal="center" vertical="center" wrapText="1"/>
    </xf>
    <xf numFmtId="0" fontId="22" fillId="6" borderId="61" xfId="0" applyFont="1" applyFill="1" applyBorder="1" applyAlignment="1">
      <alignment horizontal="center" vertical="center" wrapText="1"/>
    </xf>
    <xf numFmtId="0" fontId="22" fillId="64" borderId="12" xfId="0" applyFont="1" applyFill="1" applyBorder="1" applyAlignment="1">
      <alignment horizontal="center" vertical="center" wrapText="1"/>
    </xf>
    <xf numFmtId="0" fontId="22" fillId="64" borderId="16" xfId="0" applyFont="1" applyFill="1" applyBorder="1" applyAlignment="1">
      <alignment horizontal="center" vertical="center" wrapText="1"/>
    </xf>
    <xf numFmtId="0" fontId="11" fillId="44" borderId="31" xfId="0" applyFont="1" applyFill="1" applyBorder="1" applyAlignment="1">
      <alignment horizontal="center" vertical="center" wrapText="1"/>
    </xf>
    <xf numFmtId="0" fontId="11" fillId="44" borderId="68" xfId="0" applyFont="1" applyFill="1" applyBorder="1" applyAlignment="1">
      <alignment horizontal="center" vertical="center" wrapText="1"/>
    </xf>
    <xf numFmtId="0" fontId="11" fillId="47" borderId="70" xfId="0" applyFont="1" applyFill="1" applyBorder="1" applyAlignment="1">
      <alignment horizontal="center" vertical="center" wrapText="1"/>
    </xf>
    <xf numFmtId="0" fontId="11" fillId="47" borderId="31" xfId="0" applyFont="1" applyFill="1" applyBorder="1" applyAlignment="1">
      <alignment horizontal="center" vertical="center" wrapText="1"/>
    </xf>
    <xf numFmtId="0" fontId="11" fillId="47" borderId="10" xfId="0" applyFont="1" applyFill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43" borderId="29" xfId="0" applyFont="1" applyFill="1" applyBorder="1" applyAlignment="1">
      <alignment horizontal="center" vertical="center" wrapText="1"/>
    </xf>
    <xf numFmtId="0" fontId="11" fillId="43" borderId="19" xfId="0" applyFont="1" applyFill="1" applyBorder="1" applyAlignment="1">
      <alignment horizontal="center" vertical="center" wrapText="1"/>
    </xf>
    <xf numFmtId="0" fontId="11" fillId="45" borderId="77" xfId="0" applyFont="1" applyFill="1" applyBorder="1" applyAlignment="1">
      <alignment horizontal="center" vertical="center" wrapText="1"/>
    </xf>
    <xf numFmtId="0" fontId="11" fillId="45" borderId="73" xfId="0" applyFont="1" applyFill="1" applyBorder="1" applyAlignment="1">
      <alignment horizontal="center" vertical="center" wrapText="1"/>
    </xf>
    <xf numFmtId="0" fontId="11" fillId="45" borderId="76" xfId="0" applyFont="1" applyFill="1" applyBorder="1" applyAlignment="1">
      <alignment horizontal="center" vertical="center" wrapText="1"/>
    </xf>
    <xf numFmtId="0" fontId="11" fillId="46" borderId="77" xfId="0" applyFont="1" applyFill="1" applyBorder="1" applyAlignment="1">
      <alignment horizontal="center" vertical="center" wrapText="1"/>
    </xf>
    <xf numFmtId="0" fontId="11" fillId="46" borderId="73" xfId="0" applyFont="1" applyFill="1" applyBorder="1" applyAlignment="1">
      <alignment horizontal="center" vertical="center" wrapText="1"/>
    </xf>
    <xf numFmtId="0" fontId="11" fillId="46" borderId="76" xfId="0" applyFont="1" applyFill="1" applyBorder="1" applyAlignment="1">
      <alignment horizontal="center" vertical="center" wrapText="1"/>
    </xf>
    <xf numFmtId="0" fontId="11" fillId="13" borderId="29" xfId="0" applyFont="1" applyFill="1" applyBorder="1" applyAlignment="1">
      <alignment horizontal="center" vertical="center" wrapText="1"/>
    </xf>
    <xf numFmtId="0" fontId="11" fillId="13" borderId="19" xfId="0" applyFont="1" applyFill="1" applyBorder="1" applyAlignment="1">
      <alignment horizontal="center" vertical="center" wrapText="1"/>
    </xf>
    <xf numFmtId="0" fontId="11" fillId="38" borderId="77" xfId="0" applyFont="1" applyFill="1" applyBorder="1" applyAlignment="1">
      <alignment horizontal="center" vertical="center" wrapText="1"/>
    </xf>
    <xf numFmtId="0" fontId="11" fillId="38" borderId="73" xfId="0" applyFont="1" applyFill="1" applyBorder="1" applyAlignment="1">
      <alignment horizontal="center" vertical="center" wrapText="1"/>
    </xf>
    <xf numFmtId="0" fontId="11" fillId="38" borderId="76" xfId="0" applyFont="1" applyFill="1" applyBorder="1" applyAlignment="1">
      <alignment horizontal="center" vertical="center" wrapText="1"/>
    </xf>
    <xf numFmtId="0" fontId="11" fillId="40" borderId="25" xfId="0" applyFont="1" applyFill="1" applyBorder="1" applyAlignment="1">
      <alignment horizontal="center" vertical="center" wrapText="1"/>
    </xf>
    <xf numFmtId="0" fontId="11" fillId="40" borderId="13" xfId="0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/>
    </xf>
    <xf numFmtId="0" fontId="11" fillId="7" borderId="57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6" borderId="66" xfId="0" applyFont="1" applyFill="1" applyBorder="1" applyAlignment="1">
      <alignment horizontal="center" vertical="center" wrapText="1"/>
    </xf>
    <xf numFmtId="0" fontId="11" fillId="43" borderId="14" xfId="0" applyFont="1" applyFill="1" applyBorder="1" applyAlignment="1">
      <alignment horizontal="center" vertical="center" wrapText="1"/>
    </xf>
    <xf numFmtId="0" fontId="11" fillId="43" borderId="16" xfId="0" applyFont="1" applyFill="1" applyBorder="1" applyAlignment="1">
      <alignment horizontal="center" vertical="center" wrapText="1"/>
    </xf>
    <xf numFmtId="0" fontId="16" fillId="0" borderId="78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17" fontId="6" fillId="3" borderId="25" xfId="0" applyNumberFormat="1" applyFont="1" applyFill="1" applyBorder="1" applyAlignment="1">
      <alignment horizontal="center"/>
    </xf>
    <xf numFmtId="17" fontId="6" fillId="3" borderId="13" xfId="0" applyNumberFormat="1" applyFont="1" applyFill="1" applyBorder="1" applyAlignment="1">
      <alignment horizontal="center"/>
    </xf>
    <xf numFmtId="17" fontId="6" fillId="3" borderId="11" xfId="0" applyNumberFormat="1" applyFont="1" applyFill="1" applyBorder="1" applyAlignment="1">
      <alignment horizontal="center"/>
    </xf>
    <xf numFmtId="17" fontId="6" fillId="36" borderId="25" xfId="0" applyNumberFormat="1" applyFont="1" applyFill="1" applyBorder="1" applyAlignment="1">
      <alignment horizontal="center"/>
    </xf>
    <xf numFmtId="17" fontId="6" fillId="36" borderId="11" xfId="0" applyNumberFormat="1" applyFont="1" applyFill="1" applyBorder="1" applyAlignment="1">
      <alignment horizontal="center"/>
    </xf>
    <xf numFmtId="17" fontId="0" fillId="33" borderId="25" xfId="0" applyNumberFormat="1" applyFill="1" applyBorder="1" applyAlignment="1">
      <alignment horizontal="center"/>
    </xf>
    <xf numFmtId="17" fontId="0" fillId="33" borderId="11" xfId="0" applyNumberFormat="1" applyFill="1" applyBorder="1" applyAlignment="1">
      <alignment horizontal="center"/>
    </xf>
    <xf numFmtId="17" fontId="0" fillId="34" borderId="25" xfId="0" applyNumberFormat="1" applyFill="1" applyBorder="1" applyAlignment="1">
      <alignment horizontal="center"/>
    </xf>
    <xf numFmtId="17" fontId="0" fillId="34" borderId="11" xfId="0" applyNumberFormat="1" applyFill="1" applyBorder="1" applyAlignment="1">
      <alignment horizontal="center"/>
    </xf>
    <xf numFmtId="0" fontId="6" fillId="35" borderId="25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7" fontId="6" fillId="33" borderId="25" xfId="0" applyNumberFormat="1" applyFont="1" applyFill="1" applyBorder="1" applyAlignment="1">
      <alignment horizontal="center"/>
    </xf>
    <xf numFmtId="17" fontId="6" fillId="33" borderId="13" xfId="0" applyNumberFormat="1" applyFont="1" applyFill="1" applyBorder="1" applyAlignment="1">
      <alignment horizontal="center"/>
    </xf>
    <xf numFmtId="17" fontId="6" fillId="4" borderId="25" xfId="0" applyNumberFormat="1" applyFont="1" applyFill="1" applyBorder="1" applyAlignment="1">
      <alignment horizontal="center"/>
    </xf>
    <xf numFmtId="17" fontId="6" fillId="4" borderId="13" xfId="0" applyNumberFormat="1" applyFont="1" applyFill="1" applyBorder="1" applyAlignment="1">
      <alignment horizontal="center"/>
    </xf>
    <xf numFmtId="0" fontId="6" fillId="15" borderId="25" xfId="0" applyFont="1" applyFill="1" applyBorder="1" applyAlignment="1">
      <alignment horizontal="center"/>
    </xf>
    <xf numFmtId="0" fontId="6" fillId="15" borderId="13" xfId="0" applyFont="1" applyFill="1" applyBorder="1" applyAlignment="1">
      <alignment horizontal="center"/>
    </xf>
    <xf numFmtId="0" fontId="6" fillId="15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17" fontId="0" fillId="33" borderId="13" xfId="0" applyNumberFormat="1" applyFill="1" applyBorder="1" applyAlignment="1">
      <alignment horizontal="center"/>
    </xf>
    <xf numFmtId="17" fontId="6" fillId="36" borderId="13" xfId="0" applyNumberFormat="1" applyFont="1" applyFill="1" applyBorder="1" applyAlignment="1">
      <alignment horizontal="center"/>
    </xf>
    <xf numFmtId="17" fontId="0" fillId="34" borderId="13" xfId="0" applyNumberFormat="1" applyFill="1" applyBorder="1" applyAlignment="1">
      <alignment horizontal="center"/>
    </xf>
    <xf numFmtId="17" fontId="1" fillId="18" borderId="25" xfId="0" applyNumberFormat="1" applyFont="1" applyFill="1" applyBorder="1" applyAlignment="1">
      <alignment horizontal="center"/>
    </xf>
    <xf numFmtId="17" fontId="1" fillId="18" borderId="13" xfId="0" applyNumberFormat="1" applyFont="1" applyFill="1" applyBorder="1" applyAlignment="1">
      <alignment horizontal="center"/>
    </xf>
    <xf numFmtId="17" fontId="1" fillId="18" borderId="11" xfId="0" applyNumberFormat="1" applyFont="1" applyFill="1" applyBorder="1" applyAlignment="1">
      <alignment horizontal="center"/>
    </xf>
    <xf numFmtId="17" fontId="6" fillId="33" borderId="11" xfId="0" applyNumberFormat="1" applyFont="1" applyFill="1" applyBorder="1" applyAlignment="1">
      <alignment horizontal="center"/>
    </xf>
    <xf numFmtId="17" fontId="6" fillId="4" borderId="11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3" fillId="0" borderId="10" xfId="0" applyFont="1" applyBorder="1" applyAlignment="1">
      <alignment horizontal="center" vertical="center" wrapText="1"/>
    </xf>
    <xf numFmtId="0" fontId="167" fillId="0" borderId="10" xfId="0" applyFont="1" applyBorder="1" applyAlignment="1">
      <alignment horizontal="center" vertical="center"/>
    </xf>
    <xf numFmtId="0" fontId="123" fillId="0" borderId="25" xfId="0" applyFont="1" applyBorder="1" applyAlignment="1">
      <alignment horizontal="center" vertical="center" wrapText="1"/>
    </xf>
    <xf numFmtId="0" fontId="167" fillId="0" borderId="25" xfId="0" applyFont="1" applyBorder="1" applyAlignment="1">
      <alignment horizontal="center" vertical="center"/>
    </xf>
    <xf numFmtId="0" fontId="167" fillId="0" borderId="10" xfId="0" applyFont="1" applyBorder="1" applyAlignment="1">
      <alignment horizontal="center" vertical="center" wrapText="1"/>
    </xf>
    <xf numFmtId="0" fontId="152" fillId="0" borderId="25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27" fillId="0" borderId="62" xfId="0" applyFont="1" applyBorder="1" applyAlignment="1">
      <alignment/>
    </xf>
    <xf numFmtId="0" fontId="0" fillId="0" borderId="0" xfId="0" applyAlignment="1">
      <alignment/>
    </xf>
    <xf numFmtId="0" fontId="0" fillId="0" borderId="62" xfId="0" applyBorder="1" applyAlignment="1">
      <alignment/>
    </xf>
    <xf numFmtId="0" fontId="127" fillId="0" borderId="25" xfId="0" applyFont="1" applyBorder="1" applyAlignment="1">
      <alignment/>
    </xf>
    <xf numFmtId="0" fontId="11" fillId="41" borderId="77" xfId="0" applyFont="1" applyFill="1" applyBorder="1" applyAlignment="1">
      <alignment horizontal="center" vertical="center" wrapText="1"/>
    </xf>
    <xf numFmtId="0" fontId="11" fillId="41" borderId="76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2" fillId="6" borderId="22" xfId="0" applyFont="1" applyFill="1" applyBorder="1" applyAlignment="1">
      <alignment horizontal="center" vertical="center" wrapText="1"/>
    </xf>
    <xf numFmtId="0" fontId="118" fillId="41" borderId="63" xfId="0" applyFont="1" applyFill="1" applyBorder="1" applyAlignment="1">
      <alignment horizontal="center" vertical="center"/>
    </xf>
    <xf numFmtId="0" fontId="135" fillId="12" borderId="29" xfId="0" applyFont="1" applyFill="1" applyBorder="1" applyAlignment="1">
      <alignment horizontal="center" vertical="center" wrapText="1"/>
    </xf>
    <xf numFmtId="0" fontId="135" fillId="12" borderId="19" xfId="0" applyFont="1" applyFill="1" applyBorder="1" applyAlignment="1">
      <alignment horizontal="center" vertical="center" wrapText="1"/>
    </xf>
    <xf numFmtId="0" fontId="142" fillId="0" borderId="10" xfId="0" applyFont="1" applyBorder="1" applyAlignment="1">
      <alignment horizontal="center" vertical="center" wrapText="1"/>
    </xf>
    <xf numFmtId="0" fontId="137" fillId="0" borderId="10" xfId="0" applyFont="1" applyBorder="1" applyAlignment="1">
      <alignment horizontal="center" vertical="center" wrapText="1"/>
    </xf>
    <xf numFmtId="17" fontId="0" fillId="48" borderId="25" xfId="0" applyNumberFormat="1" applyFill="1" applyBorder="1" applyAlignment="1">
      <alignment horizontal="center"/>
    </xf>
    <xf numFmtId="17" fontId="0" fillId="48" borderId="11" xfId="0" applyNumberFormat="1" applyFill="1" applyBorder="1" applyAlignment="1">
      <alignment horizontal="center"/>
    </xf>
    <xf numFmtId="17" fontId="0" fillId="48" borderId="13" xfId="0" applyNumberFormat="1" applyFill="1" applyBorder="1" applyAlignment="1">
      <alignment horizontal="center"/>
    </xf>
    <xf numFmtId="0" fontId="26" fillId="32" borderId="10" xfId="0" applyFont="1" applyFill="1" applyBorder="1" applyAlignment="1">
      <alignment horizontal="center" vertical="center"/>
    </xf>
    <xf numFmtId="0" fontId="26" fillId="32" borderId="1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5"/>
  <sheetViews>
    <sheetView zoomScale="63" zoomScaleNormal="63" zoomScalePageLayoutView="0" workbookViewId="0" topLeftCell="A106">
      <pane xSplit="1" topLeftCell="C1" activePane="topRight" state="frozen"/>
      <selection pane="topLeft" activeCell="A1" sqref="A1"/>
      <selection pane="topRight" activeCell="G108" sqref="G108"/>
    </sheetView>
  </sheetViews>
  <sheetFormatPr defaultColWidth="9.140625" defaultRowHeight="15"/>
  <cols>
    <col min="1" max="1" width="28.57421875" style="0" customWidth="1"/>
    <col min="2" max="2" width="21.140625" style="0" customWidth="1"/>
    <col min="3" max="3" width="21.421875" style="0" customWidth="1"/>
    <col min="4" max="4" width="28.140625" style="0" customWidth="1"/>
    <col min="5" max="5" width="22.00390625" style="0" customWidth="1"/>
    <col min="6" max="6" width="21.57421875" style="0" customWidth="1"/>
    <col min="7" max="7" width="22.57421875" style="0" customWidth="1"/>
    <col min="8" max="8" width="23.7109375" style="0" customWidth="1"/>
    <col min="9" max="9" width="12.00390625" style="0" customWidth="1"/>
    <col min="10" max="10" width="12.57421875" style="0" customWidth="1"/>
    <col min="11" max="11" width="12.00390625" style="0" customWidth="1"/>
    <col min="12" max="12" width="11.57421875" style="0" customWidth="1"/>
    <col min="13" max="13" width="10.28125" style="0" customWidth="1"/>
    <col min="14" max="14" width="10.8515625" style="0" customWidth="1"/>
    <col min="15" max="15" width="11.421875" style="0" customWidth="1"/>
    <col min="16" max="16" width="12.140625" style="0" customWidth="1"/>
    <col min="17" max="17" width="13.7109375" style="0" customWidth="1"/>
    <col min="18" max="18" width="15.421875" style="0" customWidth="1"/>
    <col min="19" max="19" width="18.421875" style="0" customWidth="1"/>
    <col min="20" max="20" width="17.7109375" style="0" customWidth="1"/>
    <col min="21" max="21" width="15.421875" style="0" customWidth="1"/>
    <col min="22" max="22" width="14.00390625" style="0" customWidth="1"/>
    <col min="23" max="23" width="13.28125" style="0" customWidth="1"/>
    <col min="24" max="24" width="13.421875" style="0" customWidth="1"/>
    <col min="25" max="25" width="14.140625" style="0" customWidth="1"/>
  </cols>
  <sheetData>
    <row r="1" spans="1:10" ht="32.25" customHeight="1" thickBot="1">
      <c r="A1" s="1546" t="s">
        <v>91</v>
      </c>
      <c r="B1" s="1546"/>
      <c r="C1" s="1546"/>
      <c r="D1" s="1546"/>
      <c r="E1" s="1546"/>
      <c r="F1" s="1546"/>
      <c r="G1" s="1546"/>
      <c r="I1" s="1564" t="s">
        <v>241</v>
      </c>
      <c r="J1" s="1565"/>
    </row>
    <row r="2" spans="1:10" ht="15" customHeight="1">
      <c r="A2" s="1547" t="s">
        <v>1</v>
      </c>
      <c r="B2" s="1556" t="s">
        <v>240</v>
      </c>
      <c r="C2" s="1551" t="s">
        <v>259</v>
      </c>
      <c r="D2" s="1553" t="s">
        <v>260</v>
      </c>
      <c r="E2" s="1555" t="s">
        <v>148</v>
      </c>
      <c r="F2" s="1566"/>
      <c r="G2" s="1558"/>
      <c r="H2" s="1559"/>
      <c r="I2" s="1560"/>
      <c r="J2" s="1560"/>
    </row>
    <row r="3" spans="1:10" ht="124.5" customHeight="1" thickBot="1">
      <c r="A3" s="1548"/>
      <c r="B3" s="1561"/>
      <c r="C3" s="1552"/>
      <c r="D3" s="1554"/>
      <c r="E3" s="1555"/>
      <c r="F3" s="1566"/>
      <c r="G3" s="1558"/>
      <c r="H3" s="1559"/>
      <c r="I3" s="1560"/>
      <c r="J3" s="1560"/>
    </row>
    <row r="4" spans="1:10" ht="24.75" customHeight="1">
      <c r="A4" s="551" t="s">
        <v>47</v>
      </c>
      <c r="B4" s="570">
        <v>17087.2</v>
      </c>
      <c r="C4" s="569">
        <f>'2022(пеня)'!AA38</f>
        <v>11059.17</v>
      </c>
      <c r="D4" s="552">
        <f>'2022(пеня)'!Z67</f>
        <v>12488.67</v>
      </c>
      <c r="E4" s="553">
        <f>B4+C4+D4</f>
        <v>40635.04</v>
      </c>
      <c r="F4" s="554"/>
      <c r="G4" s="555"/>
      <c r="H4" s="548"/>
      <c r="I4" s="1544"/>
      <c r="J4" s="1544"/>
    </row>
    <row r="5" spans="1:10" ht="27.75" customHeight="1">
      <c r="A5" s="556" t="s">
        <v>53</v>
      </c>
      <c r="B5" s="570">
        <v>603.9</v>
      </c>
      <c r="C5" s="569">
        <f>'2022(пеня)'!AA39</f>
        <v>30137.019999999997</v>
      </c>
      <c r="D5" s="552">
        <f>'2022(пеня)'!Z68</f>
        <v>27643.22</v>
      </c>
      <c r="E5" s="553">
        <f aca="true" t="shared" si="0" ref="E5:E29">B5+C5+D5</f>
        <v>58384.14</v>
      </c>
      <c r="F5" s="554"/>
      <c r="G5" s="555"/>
      <c r="H5" s="548"/>
      <c r="I5" s="1544"/>
      <c r="J5" s="1544"/>
    </row>
    <row r="6" spans="1:10" ht="27.75" customHeight="1">
      <c r="A6" s="556" t="s">
        <v>144</v>
      </c>
      <c r="B6" s="570">
        <v>0</v>
      </c>
      <c r="C6" s="569">
        <f>'2022(пеня)'!AA40</f>
        <v>0</v>
      </c>
      <c r="D6" s="552">
        <f>'2022(пеня)'!Z69</f>
        <v>0</v>
      </c>
      <c r="E6" s="553">
        <f t="shared" si="0"/>
        <v>0</v>
      </c>
      <c r="F6" s="554"/>
      <c r="G6" s="555"/>
      <c r="H6" s="548"/>
      <c r="I6" s="834"/>
      <c r="J6" s="834"/>
    </row>
    <row r="7" spans="1:10" ht="24.75" customHeight="1">
      <c r="A7" s="556" t="s">
        <v>48</v>
      </c>
      <c r="B7" s="570">
        <v>7340.5</v>
      </c>
      <c r="C7" s="569">
        <f>'2022(пеня)'!AA41</f>
        <v>59952.81</v>
      </c>
      <c r="D7" s="552">
        <f>'2022(пеня)'!Z70</f>
        <v>62737.7</v>
      </c>
      <c r="E7" s="553">
        <f t="shared" si="0"/>
        <v>130031.01</v>
      </c>
      <c r="F7" s="554"/>
      <c r="G7" s="555"/>
      <c r="H7" s="548"/>
      <c r="I7" s="1544"/>
      <c r="J7" s="1544"/>
    </row>
    <row r="8" spans="1:10" ht="24" customHeight="1">
      <c r="A8" s="557" t="s">
        <v>9</v>
      </c>
      <c r="B8" s="570">
        <v>0</v>
      </c>
      <c r="C8" s="569">
        <f>'2022(пеня)'!AA42</f>
        <v>15476.16</v>
      </c>
      <c r="D8" s="552">
        <f>'2022(пеня)'!Z71</f>
        <v>20560.93</v>
      </c>
      <c r="E8" s="553">
        <f t="shared" si="0"/>
        <v>36037.09</v>
      </c>
      <c r="F8" s="554"/>
      <c r="G8" s="555"/>
      <c r="H8" s="548"/>
      <c r="I8" s="1544"/>
      <c r="J8" s="1544"/>
    </row>
    <row r="9" spans="1:10" ht="27" customHeight="1">
      <c r="A9" s="557" t="s">
        <v>10</v>
      </c>
      <c r="B9" s="570">
        <v>0</v>
      </c>
      <c r="C9" s="569">
        <f>'2022(пеня)'!AA43</f>
        <v>7207.82</v>
      </c>
      <c r="D9" s="552">
        <f>'2022(пеня)'!Z72</f>
        <v>8251.37</v>
      </c>
      <c r="E9" s="553">
        <f t="shared" si="0"/>
        <v>15459.19</v>
      </c>
      <c r="F9" s="554"/>
      <c r="G9" s="555"/>
      <c r="H9" s="548"/>
      <c r="I9" s="1544"/>
      <c r="J9" s="1544"/>
    </row>
    <row r="10" spans="1:10" ht="28.5" customHeight="1">
      <c r="A10" s="557" t="s">
        <v>11</v>
      </c>
      <c r="B10" s="570">
        <v>0</v>
      </c>
      <c r="C10" s="569">
        <f>'2022(пеня)'!AA44</f>
        <v>6970.8</v>
      </c>
      <c r="D10" s="552">
        <f>'2022(пеня)'!Z73</f>
        <v>7553.89</v>
      </c>
      <c r="E10" s="553">
        <f t="shared" si="0"/>
        <v>14524.69</v>
      </c>
      <c r="F10" s="554"/>
      <c r="G10" s="555"/>
      <c r="H10" s="548"/>
      <c r="I10" s="1544"/>
      <c r="J10" s="1544"/>
    </row>
    <row r="11" spans="1:10" ht="27.75" customHeight="1">
      <c r="A11" s="557" t="s">
        <v>12</v>
      </c>
      <c r="B11" s="570">
        <v>4579.200000000001</v>
      </c>
      <c r="C11" s="569">
        <f>'2022(пеня)'!AA45</f>
        <v>41914.48</v>
      </c>
      <c r="D11" s="552">
        <f>'2022(пеня)'!Z74</f>
        <v>43565.65</v>
      </c>
      <c r="E11" s="553">
        <f t="shared" si="0"/>
        <v>90059.33000000002</v>
      </c>
      <c r="F11" s="554"/>
      <c r="G11" s="555"/>
      <c r="H11" s="548"/>
      <c r="I11" s="1544"/>
      <c r="J11" s="1544"/>
    </row>
    <row r="12" spans="1:10" ht="24.75" customHeight="1">
      <c r="A12" s="557" t="s">
        <v>13</v>
      </c>
      <c r="B12" s="570">
        <v>3225.05</v>
      </c>
      <c r="C12" s="569">
        <f>'2022(пеня)'!AA46</f>
        <v>21054.640000000003</v>
      </c>
      <c r="D12" s="552">
        <f>'2022(пеня)'!Z75</f>
        <v>25390.82</v>
      </c>
      <c r="E12" s="553">
        <f t="shared" si="0"/>
        <v>49670.51</v>
      </c>
      <c r="F12" s="554"/>
      <c r="G12" s="555"/>
      <c r="H12" s="548"/>
      <c r="I12" s="1544"/>
      <c r="J12" s="1544"/>
    </row>
    <row r="13" spans="1:10" ht="24" customHeight="1">
      <c r="A13" s="557" t="s">
        <v>14</v>
      </c>
      <c r="B13" s="570">
        <v>8966.54</v>
      </c>
      <c r="C13" s="569">
        <f>'2022(пеня)'!AA47</f>
        <v>29561.809999999998</v>
      </c>
      <c r="D13" s="552">
        <f>'2022(пеня)'!Z76</f>
        <v>31865.43</v>
      </c>
      <c r="E13" s="553">
        <f t="shared" si="0"/>
        <v>70393.78</v>
      </c>
      <c r="F13" s="554"/>
      <c r="G13" s="555"/>
      <c r="H13" s="548"/>
      <c r="I13" s="1544"/>
      <c r="J13" s="1544"/>
    </row>
    <row r="14" spans="1:10" ht="27" customHeight="1">
      <c r="A14" s="557" t="s">
        <v>55</v>
      </c>
      <c r="B14" s="570">
        <v>1117.77</v>
      </c>
      <c r="C14" s="569">
        <f>'2022(пеня)'!AA48</f>
        <v>11429.960000000001</v>
      </c>
      <c r="D14" s="552">
        <f>'2022(пеня)'!Z77</f>
        <v>15242.24</v>
      </c>
      <c r="E14" s="553">
        <f t="shared" si="0"/>
        <v>27789.97</v>
      </c>
      <c r="F14" s="554"/>
      <c r="G14" s="555"/>
      <c r="H14" s="548"/>
      <c r="I14" s="1544"/>
      <c r="J14" s="1544"/>
    </row>
    <row r="15" spans="1:10" ht="27" customHeight="1">
      <c r="A15" s="557" t="s">
        <v>15</v>
      </c>
      <c r="B15" s="570">
        <v>2127.42</v>
      </c>
      <c r="C15" s="569">
        <f>'2022(пеня)'!AA49</f>
        <v>31102.309999999998</v>
      </c>
      <c r="D15" s="552">
        <f>'2022(пеня)'!Z78</f>
        <v>32407.34</v>
      </c>
      <c r="E15" s="553">
        <f t="shared" si="0"/>
        <v>65637.06999999999</v>
      </c>
      <c r="F15" s="554"/>
      <c r="G15" s="555"/>
      <c r="H15" s="548"/>
      <c r="I15" s="1544"/>
      <c r="J15" s="1544"/>
    </row>
    <row r="16" spans="1:10" ht="25.5" customHeight="1">
      <c r="A16" s="557" t="s">
        <v>16</v>
      </c>
      <c r="B16" s="570">
        <v>1745.82</v>
      </c>
      <c r="C16" s="569">
        <f>'2022(пеня)'!AA50</f>
        <v>26016.16</v>
      </c>
      <c r="D16" s="552">
        <f>'2022(пеня)'!Z79</f>
        <v>32339.66</v>
      </c>
      <c r="E16" s="553">
        <f t="shared" si="0"/>
        <v>60101.64</v>
      </c>
      <c r="F16" s="554"/>
      <c r="G16" s="555"/>
      <c r="H16" s="548"/>
      <c r="I16" s="1544"/>
      <c r="J16" s="1544"/>
    </row>
    <row r="17" spans="1:10" ht="22.5" customHeight="1">
      <c r="A17" s="558" t="s">
        <v>17</v>
      </c>
      <c r="B17" s="570">
        <v>1858.71</v>
      </c>
      <c r="C17" s="569">
        <f>'2022(пеня)'!AA51</f>
        <v>35350.53999999999</v>
      </c>
      <c r="D17" s="552">
        <f>'2022(пеня)'!Z80</f>
        <v>38346.21</v>
      </c>
      <c r="E17" s="553">
        <f t="shared" si="0"/>
        <v>75555.45999999999</v>
      </c>
      <c r="F17" s="554"/>
      <c r="G17" s="555"/>
      <c r="H17" s="548"/>
      <c r="I17" s="1544"/>
      <c r="J17" s="1544"/>
    </row>
    <row r="18" spans="1:10" ht="26.25" customHeight="1">
      <c r="A18" s="559" t="s">
        <v>18</v>
      </c>
      <c r="B18" s="570">
        <v>11740.56</v>
      </c>
      <c r="C18" s="569">
        <f>'2022(пеня)'!AA52</f>
        <v>67759.12000000001</v>
      </c>
      <c r="D18" s="552">
        <f>'2022(пеня)'!Z81</f>
        <v>79496.46</v>
      </c>
      <c r="E18" s="553">
        <f t="shared" si="0"/>
        <v>158996.14</v>
      </c>
      <c r="F18" s="554"/>
      <c r="G18" s="555"/>
      <c r="H18" s="548"/>
      <c r="I18" s="1544"/>
      <c r="J18" s="1544"/>
    </row>
    <row r="19" spans="1:10" ht="25.5" customHeight="1">
      <c r="A19" s="560" t="s">
        <v>54</v>
      </c>
      <c r="B19" s="570">
        <v>0</v>
      </c>
      <c r="C19" s="569">
        <f>'2022(пеня)'!AA53</f>
        <v>31232.57</v>
      </c>
      <c r="D19" s="552">
        <f>'2022(пеня)'!Z82</f>
        <v>32917.689999999995</v>
      </c>
      <c r="E19" s="553">
        <f t="shared" si="0"/>
        <v>64150.259999999995</v>
      </c>
      <c r="F19" s="554"/>
      <c r="G19" s="555"/>
      <c r="H19" s="548"/>
      <c r="I19" s="1544"/>
      <c r="J19" s="1544"/>
    </row>
    <row r="20" spans="1:10" ht="29.25" customHeight="1">
      <c r="A20" s="560" t="s">
        <v>49</v>
      </c>
      <c r="B20" s="570">
        <v>11398.71</v>
      </c>
      <c r="C20" s="569">
        <f>'2022(пеня)'!AA54</f>
        <v>63099</v>
      </c>
      <c r="D20" s="552">
        <f>'2022(пеня)'!Z83</f>
        <v>68535.67</v>
      </c>
      <c r="E20" s="553">
        <f t="shared" si="0"/>
        <v>143033.38</v>
      </c>
      <c r="F20" s="554"/>
      <c r="G20" s="555"/>
      <c r="H20" s="548"/>
      <c r="I20" s="1544"/>
      <c r="J20" s="1544"/>
    </row>
    <row r="21" spans="1:10" ht="24.75" customHeight="1">
      <c r="A21" s="560" t="s">
        <v>19</v>
      </c>
      <c r="B21" s="570">
        <v>4230.99</v>
      </c>
      <c r="C21" s="569">
        <f>'2022(пеня)'!AA55</f>
        <v>50330</v>
      </c>
      <c r="D21" s="552">
        <f>'2022(пеня)'!Z84</f>
        <v>53595.229999999996</v>
      </c>
      <c r="E21" s="553">
        <f t="shared" si="0"/>
        <v>108156.22</v>
      </c>
      <c r="F21" s="554"/>
      <c r="G21" s="555"/>
      <c r="H21" s="548"/>
      <c r="I21" s="1544"/>
      <c r="J21" s="1544"/>
    </row>
    <row r="22" spans="1:10" ht="26.25" customHeight="1">
      <c r="A22" s="574" t="s">
        <v>20</v>
      </c>
      <c r="B22" s="570">
        <v>2067</v>
      </c>
      <c r="C22" s="569">
        <f>'2022(пеня)'!AA56</f>
        <v>29490.18</v>
      </c>
      <c r="D22" s="552">
        <f>'2022(пеня)'!Z85</f>
        <v>32780.01</v>
      </c>
      <c r="E22" s="553">
        <f t="shared" si="0"/>
        <v>64337.19</v>
      </c>
      <c r="F22" s="554"/>
      <c r="G22" s="555"/>
      <c r="H22" s="548"/>
      <c r="I22" s="1544"/>
      <c r="J22" s="1544"/>
    </row>
    <row r="23" spans="1:10" ht="26.25" customHeight="1">
      <c r="A23" s="574" t="s">
        <v>114</v>
      </c>
      <c r="B23" s="570">
        <v>7086.1</v>
      </c>
      <c r="C23" s="569">
        <f>'2022(пеня)'!AA57</f>
        <v>36553.57</v>
      </c>
      <c r="D23" s="552">
        <f>'2022(пеня)'!Z86</f>
        <v>38974.25</v>
      </c>
      <c r="E23" s="553">
        <f t="shared" si="0"/>
        <v>82613.92</v>
      </c>
      <c r="F23" s="554"/>
      <c r="G23" s="555"/>
      <c r="H23" s="548"/>
      <c r="I23" s="834"/>
      <c r="J23" s="834"/>
    </row>
    <row r="24" spans="1:10" ht="26.25" customHeight="1">
      <c r="A24" s="574" t="s">
        <v>150</v>
      </c>
      <c r="B24" s="570">
        <v>0</v>
      </c>
      <c r="C24" s="569">
        <f>'2022(пеня)'!AA58</f>
        <v>11893.34</v>
      </c>
      <c r="D24" s="552">
        <f>'2022(пеня)'!Z87</f>
        <v>13435.640000000001</v>
      </c>
      <c r="E24" s="553">
        <f t="shared" si="0"/>
        <v>25328.980000000003</v>
      </c>
      <c r="F24" s="554"/>
      <c r="G24" s="555"/>
      <c r="H24" s="548"/>
      <c r="I24" s="834"/>
      <c r="J24" s="834"/>
    </row>
    <row r="25" spans="1:10" ht="28.5" customHeight="1">
      <c r="A25" s="560" t="s">
        <v>192</v>
      </c>
      <c r="B25" s="570">
        <v>11545.09</v>
      </c>
      <c r="C25" s="569">
        <f>'2022(пеня)'!AA59</f>
        <v>73862.1</v>
      </c>
      <c r="D25" s="552">
        <f>'2022(пеня)'!Z88</f>
        <v>63547.94</v>
      </c>
      <c r="E25" s="553">
        <f t="shared" si="0"/>
        <v>148955.13</v>
      </c>
      <c r="F25" s="555"/>
      <c r="G25" s="555"/>
      <c r="H25" s="549"/>
      <c r="I25" s="1544"/>
      <c r="J25" s="1544"/>
    </row>
    <row r="26" spans="1:10" ht="28.5" customHeight="1">
      <c r="A26" s="574" t="s">
        <v>193</v>
      </c>
      <c r="B26" s="570">
        <v>4199.1900000000005</v>
      </c>
      <c r="C26" s="569">
        <f>'2022(пеня)'!AA60</f>
        <v>62196.54</v>
      </c>
      <c r="D26" s="552">
        <f>'2022(пеня)'!Z89</f>
        <v>86409.31</v>
      </c>
      <c r="E26" s="553">
        <f t="shared" si="0"/>
        <v>152805.03999999998</v>
      </c>
      <c r="F26" s="565"/>
      <c r="G26" s="566"/>
      <c r="H26" s="550"/>
      <c r="I26" s="1544"/>
      <c r="J26" s="1544"/>
    </row>
    <row r="27" spans="1:8" ht="25.5">
      <c r="A27" s="574" t="s">
        <v>217</v>
      </c>
      <c r="B27" s="837">
        <v>1927.08</v>
      </c>
      <c r="C27" s="569">
        <f>'2022(пеня)'!AA61</f>
        <v>64314.32</v>
      </c>
      <c r="D27" s="552">
        <f>'2022(пеня)'!Z90</f>
        <v>49147.310000000005</v>
      </c>
      <c r="E27" s="553">
        <f t="shared" si="0"/>
        <v>115388.70999999999</v>
      </c>
      <c r="F27" s="568"/>
      <c r="G27" s="568"/>
      <c r="H27" s="11"/>
    </row>
    <row r="28" spans="1:7" ht="27.75" customHeight="1">
      <c r="A28" s="574" t="s">
        <v>239</v>
      </c>
      <c r="B28" s="837">
        <v>0</v>
      </c>
      <c r="C28" s="569">
        <f>'2022(пеня)'!AA62</f>
        <v>13548.859999999999</v>
      </c>
      <c r="D28" s="552">
        <f>'2022(пеня)'!Z91</f>
        <v>42501.78</v>
      </c>
      <c r="E28" s="553">
        <f t="shared" si="0"/>
        <v>56050.64</v>
      </c>
      <c r="G28" s="53"/>
    </row>
    <row r="29" spans="1:5" ht="34.5" customHeight="1">
      <c r="A29" s="564" t="s">
        <v>88</v>
      </c>
      <c r="B29" s="837">
        <v>102846.83000000002</v>
      </c>
      <c r="C29" s="569">
        <f>SUM(C4:C28)</f>
        <v>831513.2799999998</v>
      </c>
      <c r="D29" s="552">
        <f>'2022(пеня)'!Z92</f>
        <v>919734.4200000002</v>
      </c>
      <c r="E29" s="553">
        <f t="shared" si="0"/>
        <v>1854094.53</v>
      </c>
    </row>
    <row r="30" ht="30.75" customHeight="1">
      <c r="C30" s="39"/>
    </row>
    <row r="31" spans="1:11" ht="36" customHeight="1">
      <c r="A31" s="1562"/>
      <c r="B31" s="1562"/>
      <c r="C31" s="1562"/>
      <c r="D31" s="1562"/>
      <c r="E31" s="1562"/>
      <c r="F31" s="1562"/>
      <c r="G31" s="1562"/>
      <c r="H31" s="571"/>
      <c r="I31" s="1563"/>
      <c r="J31" s="1563"/>
      <c r="K31" s="11"/>
    </row>
    <row r="32" spans="1:11" ht="27" customHeight="1" thickBot="1">
      <c r="A32" s="1546" t="s">
        <v>91</v>
      </c>
      <c r="B32" s="1546"/>
      <c r="C32" s="1546"/>
      <c r="D32" s="1546"/>
      <c r="E32" s="1546"/>
      <c r="F32" s="1546"/>
      <c r="G32" s="1546"/>
      <c r="I32" s="1564" t="s">
        <v>265</v>
      </c>
      <c r="J32" s="1565"/>
      <c r="K32" s="11"/>
    </row>
    <row r="33" spans="1:11" ht="105" customHeight="1">
      <c r="A33" s="1547" t="s">
        <v>1</v>
      </c>
      <c r="B33" s="1556" t="s">
        <v>286</v>
      </c>
      <c r="C33" s="1551" t="s">
        <v>282</v>
      </c>
      <c r="D33" s="1553" t="s">
        <v>285</v>
      </c>
      <c r="E33" s="1555" t="s">
        <v>284</v>
      </c>
      <c r="F33" s="1555" t="s">
        <v>155</v>
      </c>
      <c r="G33" s="1558"/>
      <c r="H33" s="1559"/>
      <c r="I33" s="1560"/>
      <c r="J33" s="1560"/>
      <c r="K33" s="11"/>
    </row>
    <row r="34" spans="1:11" ht="41.25" customHeight="1" thickBot="1">
      <c r="A34" s="1548"/>
      <c r="B34" s="1561"/>
      <c r="C34" s="1552"/>
      <c r="D34" s="1554"/>
      <c r="E34" s="1555"/>
      <c r="F34" s="1555"/>
      <c r="G34" s="1558"/>
      <c r="H34" s="1559"/>
      <c r="I34" s="1560"/>
      <c r="J34" s="1560"/>
      <c r="K34" s="11"/>
    </row>
    <row r="35" spans="1:11" ht="26.25">
      <c r="A35" s="551" t="s">
        <v>47</v>
      </c>
      <c r="B35" s="570">
        <f>'2022(пеня)'!AB96</f>
        <v>12815.400000000001</v>
      </c>
      <c r="C35" s="569">
        <f>'2022(пеня)'!AE96</f>
        <v>13822.5</v>
      </c>
      <c r="D35" s="552">
        <f>'2022(пеня)'!Z125</f>
        <v>12120.56</v>
      </c>
      <c r="E35" s="553">
        <f>'2022(пеня)'!Z154</f>
        <v>13934.78</v>
      </c>
      <c r="F35" s="575">
        <f>B35+C35+D35+E35</f>
        <v>52693.24</v>
      </c>
      <c r="G35" s="555"/>
      <c r="H35" s="548"/>
      <c r="I35" s="1544"/>
      <c r="J35" s="1544"/>
      <c r="K35" s="11"/>
    </row>
    <row r="36" spans="1:11" ht="26.25">
      <c r="A36" s="556" t="s">
        <v>53</v>
      </c>
      <c r="B36" s="570">
        <f>'2022(пеня)'!AB97</f>
        <v>120.78</v>
      </c>
      <c r="C36" s="569">
        <f>'2022(пеня)'!AE97</f>
        <v>30383.24</v>
      </c>
      <c r="D36" s="552">
        <f>'2022(пеня)'!Z126</f>
        <v>33107.86</v>
      </c>
      <c r="E36" s="553">
        <f>'2022(пеня)'!Z155</f>
        <v>54500.21</v>
      </c>
      <c r="F36" s="575">
        <f aca="true" t="shared" si="1" ref="F36:F60">B36+C36+D36+E36</f>
        <v>118112.09</v>
      </c>
      <c r="G36" s="555"/>
      <c r="H36" s="548"/>
      <c r="I36" s="1544"/>
      <c r="J36" s="1544"/>
      <c r="K36" s="11"/>
    </row>
    <row r="37" spans="1:11" ht="26.25">
      <c r="A37" s="556" t="s">
        <v>144</v>
      </c>
      <c r="B37" s="570">
        <f>'2022(пеня)'!AB98</f>
        <v>0</v>
      </c>
      <c r="C37" s="569">
        <f>'2022(пеня)'!AE98</f>
        <v>0</v>
      </c>
      <c r="D37" s="552">
        <f>'2022(пеня)'!Z127</f>
        <v>0</v>
      </c>
      <c r="E37" s="553">
        <f>'2022(пеня)'!Z156</f>
        <v>0</v>
      </c>
      <c r="F37" s="575">
        <f t="shared" si="1"/>
        <v>0</v>
      </c>
      <c r="G37" s="555"/>
      <c r="H37" s="548"/>
      <c r="I37" s="834"/>
      <c r="J37" s="834"/>
      <c r="K37" s="11"/>
    </row>
    <row r="38" spans="1:11" ht="26.25">
      <c r="A38" s="556" t="s">
        <v>48</v>
      </c>
      <c r="B38" s="570">
        <f>'2022(пеня)'!AB99</f>
        <v>4034.3599999999997</v>
      </c>
      <c r="C38" s="569">
        <f>'2022(пеня)'!AE99</f>
        <v>77224.15999999999</v>
      </c>
      <c r="D38" s="552">
        <f>'2022(пеня)'!Z128</f>
        <v>69619.8</v>
      </c>
      <c r="E38" s="553">
        <f>'2022(пеня)'!Z157</f>
        <v>69096.75</v>
      </c>
      <c r="F38" s="575">
        <f t="shared" si="1"/>
        <v>219975.07</v>
      </c>
      <c r="G38" s="555"/>
      <c r="H38" s="548"/>
      <c r="I38" s="1544"/>
      <c r="J38" s="1544"/>
      <c r="K38" s="11"/>
    </row>
    <row r="39" spans="1:11" ht="26.25">
      <c r="A39" s="557" t="s">
        <v>9</v>
      </c>
      <c r="B39" s="570">
        <f>'2022(пеня)'!AB100</f>
        <v>0</v>
      </c>
      <c r="C39" s="569">
        <f>'2022(пеня)'!AE100</f>
        <v>20172.879999999997</v>
      </c>
      <c r="D39" s="552">
        <f>'2022(пеня)'!Z129</f>
        <v>20183.25</v>
      </c>
      <c r="E39" s="553">
        <f>'2022(пеня)'!Z158</f>
        <v>17526.08</v>
      </c>
      <c r="F39" s="575">
        <f t="shared" si="1"/>
        <v>57882.21</v>
      </c>
      <c r="G39" s="555"/>
      <c r="H39" s="548"/>
      <c r="I39" s="1544"/>
      <c r="J39" s="1544"/>
      <c r="K39" s="11"/>
    </row>
    <row r="40" spans="1:11" ht="26.25">
      <c r="A40" s="557" t="s">
        <v>10</v>
      </c>
      <c r="B40" s="570">
        <f>'2022(пеня)'!AB101</f>
        <v>0</v>
      </c>
      <c r="C40" s="569">
        <f>'2022(пеня)'!AE101</f>
        <v>10294.23</v>
      </c>
      <c r="D40" s="552">
        <f>'2022(пеня)'!Z130</f>
        <v>7327.55</v>
      </c>
      <c r="E40" s="553">
        <f>'2022(пеня)'!Z159</f>
        <v>6583.19</v>
      </c>
      <c r="F40" s="575">
        <f t="shared" si="1"/>
        <v>24204.969999999998</v>
      </c>
      <c r="G40" s="555"/>
      <c r="H40" s="548"/>
      <c r="I40" s="1544"/>
      <c r="J40" s="1544"/>
      <c r="K40" s="11"/>
    </row>
    <row r="41" spans="1:11" ht="26.25">
      <c r="A41" s="557" t="s">
        <v>11</v>
      </c>
      <c r="B41" s="570">
        <f>'2022(пеня)'!AB102</f>
        <v>0</v>
      </c>
      <c r="C41" s="569">
        <f>'2022(пеня)'!AE102</f>
        <v>7548.389999999999</v>
      </c>
      <c r="D41" s="552">
        <f>'2022(пеня)'!Z131</f>
        <v>7733.4</v>
      </c>
      <c r="E41" s="553">
        <f>'2022(пеня)'!Z160</f>
        <v>6753.99</v>
      </c>
      <c r="F41" s="575">
        <f t="shared" si="1"/>
        <v>22035.78</v>
      </c>
      <c r="G41" s="555"/>
      <c r="H41" s="548"/>
      <c r="I41" s="1544"/>
      <c r="J41" s="1544"/>
      <c r="K41" s="11"/>
    </row>
    <row r="42" spans="1:11" ht="26.25">
      <c r="A42" s="557" t="s">
        <v>12</v>
      </c>
      <c r="B42" s="570">
        <f>'2022(пеня)'!AB103</f>
        <v>4579.200000000001</v>
      </c>
      <c r="C42" s="569">
        <f>'2022(пеня)'!AE103</f>
        <v>40202.729999999996</v>
      </c>
      <c r="D42" s="552">
        <f>'2022(пеня)'!Z132</f>
        <v>50373.56</v>
      </c>
      <c r="E42" s="553">
        <f>'2022(пеня)'!Z161</f>
        <v>42360.51</v>
      </c>
      <c r="F42" s="575">
        <f t="shared" si="1"/>
        <v>137516</v>
      </c>
      <c r="G42" s="555"/>
      <c r="H42" s="548"/>
      <c r="I42" s="1544"/>
      <c r="J42" s="1544"/>
      <c r="K42" s="11"/>
    </row>
    <row r="43" spans="1:11" ht="26.25">
      <c r="A43" s="557" t="s">
        <v>13</v>
      </c>
      <c r="B43" s="570">
        <f>'2022(пеня)'!AB104</f>
        <v>1935.03</v>
      </c>
      <c r="C43" s="569">
        <f>'2022(пеня)'!AE104</f>
        <v>27395.85</v>
      </c>
      <c r="D43" s="552">
        <f>'2022(пеня)'!Z133</f>
        <v>23872.09</v>
      </c>
      <c r="E43" s="553">
        <f>'2022(пеня)'!Z162</f>
        <v>25413.91</v>
      </c>
      <c r="F43" s="575">
        <f t="shared" si="1"/>
        <v>78616.88</v>
      </c>
      <c r="G43" s="555"/>
      <c r="H43" s="548"/>
      <c r="I43" s="1544"/>
      <c r="J43" s="1544"/>
      <c r="K43" s="11"/>
    </row>
    <row r="44" spans="1:11" ht="26.25">
      <c r="A44" s="557" t="s">
        <v>14</v>
      </c>
      <c r="B44" s="570">
        <f>'2022(пеня)'!AB105</f>
        <v>6163.9</v>
      </c>
      <c r="C44" s="569">
        <f>'2022(пеня)'!AE105</f>
        <v>34689.87</v>
      </c>
      <c r="D44" s="552">
        <f>'2022(пеня)'!Z134</f>
        <v>31674.95</v>
      </c>
      <c r="E44" s="553">
        <f>'2022(пеня)'!Z163</f>
        <v>33768.96</v>
      </c>
      <c r="F44" s="575">
        <f t="shared" si="1"/>
        <v>106297.68</v>
      </c>
      <c r="G44" s="555"/>
      <c r="H44" s="548"/>
      <c r="I44" s="1544"/>
      <c r="J44" s="1544"/>
      <c r="K44" s="11"/>
    </row>
    <row r="45" spans="1:11" ht="26.25">
      <c r="A45" s="557" t="s">
        <v>55</v>
      </c>
      <c r="B45" s="570">
        <f>'2022(пеня)'!AB106</f>
        <v>0</v>
      </c>
      <c r="C45" s="569">
        <f>'2022(пеня)'!AE106</f>
        <v>15796.79</v>
      </c>
      <c r="D45" s="552">
        <f>'2022(пеня)'!Z135</f>
        <v>14144.869999999999</v>
      </c>
      <c r="E45" s="553">
        <f>'2022(пеня)'!Z164</f>
        <v>13598.720000000001</v>
      </c>
      <c r="F45" s="575">
        <f t="shared" si="1"/>
        <v>43540.380000000005</v>
      </c>
      <c r="G45" s="555"/>
      <c r="H45" s="548"/>
      <c r="I45" s="1544"/>
      <c r="J45" s="1544"/>
      <c r="K45" s="11"/>
    </row>
    <row r="46" spans="1:11" ht="26.25">
      <c r="A46" s="557" t="s">
        <v>15</v>
      </c>
      <c r="B46" s="570">
        <f>'2022(пеня)'!AB107</f>
        <v>1063.71</v>
      </c>
      <c r="C46" s="569">
        <f>'2022(пеня)'!AE107</f>
        <v>33044.72</v>
      </c>
      <c r="D46" s="552">
        <f>'2022(пеня)'!Z136</f>
        <v>32782.02</v>
      </c>
      <c r="E46" s="553">
        <f>'2022(пеня)'!Z165</f>
        <v>31167.809999999998</v>
      </c>
      <c r="F46" s="575">
        <f t="shared" si="1"/>
        <v>98058.26</v>
      </c>
      <c r="G46" s="555"/>
      <c r="H46" s="548"/>
      <c r="I46" s="1544"/>
      <c r="J46" s="1544"/>
      <c r="K46" s="11"/>
    </row>
    <row r="47" spans="1:11" ht="26.25">
      <c r="A47" s="557" t="s">
        <v>16</v>
      </c>
      <c r="B47" s="570">
        <f>'2022(пеня)'!AB108</f>
        <v>872.91</v>
      </c>
      <c r="C47" s="569">
        <f>'2022(пеня)'!AE108</f>
        <v>27070.809999999998</v>
      </c>
      <c r="D47" s="552">
        <f>'2022(пеня)'!Z137</f>
        <v>29086.64</v>
      </c>
      <c r="E47" s="553">
        <f>'2022(пеня)'!Z166</f>
        <v>28108.53</v>
      </c>
      <c r="F47" s="575">
        <f t="shared" si="1"/>
        <v>85138.89</v>
      </c>
      <c r="G47" s="555"/>
      <c r="H47" s="548"/>
      <c r="I47" s="1544"/>
      <c r="J47" s="1544"/>
      <c r="K47" s="11"/>
    </row>
    <row r="48" spans="1:11" ht="26.25">
      <c r="A48" s="558" t="s">
        <v>17</v>
      </c>
      <c r="B48" s="1022">
        <f>1858.71+3611.95</f>
        <v>5470.66</v>
      </c>
      <c r="C48" s="569">
        <f>'2022(пеня)'!AE109</f>
        <v>42189.28</v>
      </c>
      <c r="D48" s="552">
        <f>'2022(пеня)'!Z138</f>
        <v>38719.299999999996</v>
      </c>
      <c r="E48" s="553">
        <f>'2022(пеня)'!Z167</f>
        <v>35223.92</v>
      </c>
      <c r="F48" s="575">
        <f t="shared" si="1"/>
        <v>121603.15999999999</v>
      </c>
      <c r="G48" s="555"/>
      <c r="H48" s="548"/>
      <c r="I48" s="1544"/>
      <c r="J48" s="1544"/>
      <c r="K48" s="11"/>
    </row>
    <row r="49" spans="1:11" ht="26.25">
      <c r="A49" s="559" t="s">
        <v>18</v>
      </c>
      <c r="B49" s="570">
        <f>'2022(пеня)'!AB110</f>
        <v>3611.95</v>
      </c>
      <c r="C49" s="569">
        <f>'2022(пеня)'!AE110</f>
        <v>78795.99</v>
      </c>
      <c r="D49" s="552">
        <f>'2022(пеня)'!Z139</f>
        <v>80596</v>
      </c>
      <c r="E49" s="553">
        <f>'2022(пеня)'!Z168</f>
        <v>81728.79000000001</v>
      </c>
      <c r="F49" s="575">
        <f t="shared" si="1"/>
        <v>244732.73</v>
      </c>
      <c r="G49" s="555"/>
      <c r="H49" s="548"/>
      <c r="I49" s="1544"/>
      <c r="J49" s="1544"/>
      <c r="K49" s="11"/>
    </row>
    <row r="50" spans="1:11" ht="26.25">
      <c r="A50" s="560" t="s">
        <v>54</v>
      </c>
      <c r="B50" s="570">
        <f>'2022(пеня)'!AB111</f>
        <v>0</v>
      </c>
      <c r="C50" s="569">
        <f>'2022(пеня)'!AE111</f>
        <v>35496.69</v>
      </c>
      <c r="D50" s="552">
        <f>'2022(пеня)'!Z140</f>
        <v>34176</v>
      </c>
      <c r="E50" s="553">
        <f>'2022(пеня)'!Z169</f>
        <v>32662.449999999997</v>
      </c>
      <c r="F50" s="575">
        <f t="shared" si="1"/>
        <v>102335.14</v>
      </c>
      <c r="G50" s="555"/>
      <c r="H50" s="548"/>
      <c r="I50" s="1544"/>
      <c r="J50" s="1544"/>
      <c r="K50" s="11"/>
    </row>
    <row r="51" spans="1:11" ht="26.25">
      <c r="A51" s="560" t="s">
        <v>49</v>
      </c>
      <c r="B51" s="570">
        <f>'2022(пеня)'!AB112</f>
        <v>10170.7</v>
      </c>
      <c r="C51" s="569">
        <f>'2022(пеня)'!AE112</f>
        <v>73132.6</v>
      </c>
      <c r="D51" s="552">
        <f>'2022(пеня)'!Z141</f>
        <v>64370.21</v>
      </c>
      <c r="E51" s="553">
        <f>'2022(пеня)'!Z170</f>
        <v>71749.81</v>
      </c>
      <c r="F51" s="575">
        <f t="shared" si="1"/>
        <v>219423.32</v>
      </c>
      <c r="G51" s="555"/>
      <c r="H51" s="548"/>
      <c r="I51" s="1544"/>
      <c r="J51" s="1544"/>
      <c r="K51" s="11"/>
    </row>
    <row r="52" spans="1:11" ht="26.25">
      <c r="A52" s="560" t="s">
        <v>19</v>
      </c>
      <c r="B52" s="570">
        <f>'2022(пеня)'!AB113</f>
        <v>3492.17</v>
      </c>
      <c r="C52" s="569">
        <f>'2022(пеня)'!AE113</f>
        <v>55129.19</v>
      </c>
      <c r="D52" s="552">
        <f>'2022(пеня)'!Z142</f>
        <v>51368.8</v>
      </c>
      <c r="E52" s="553">
        <f>'2022(пеня)'!Z171</f>
        <v>53198.53</v>
      </c>
      <c r="F52" s="575">
        <f t="shared" si="1"/>
        <v>163188.69</v>
      </c>
      <c r="G52" s="555"/>
      <c r="H52" s="548"/>
      <c r="I52" s="1544"/>
      <c r="J52" s="1544"/>
      <c r="K52" s="11"/>
    </row>
    <row r="53" spans="1:11" ht="26.25">
      <c r="A53" s="574" t="s">
        <v>20</v>
      </c>
      <c r="B53" s="570">
        <f>'2022(пеня)'!AB114</f>
        <v>1378</v>
      </c>
      <c r="C53" s="569">
        <f>'2022(пеня)'!AE114</f>
        <v>35572.33</v>
      </c>
      <c r="D53" s="552">
        <f>'2022(пеня)'!Z143</f>
        <v>33592.04</v>
      </c>
      <c r="E53" s="553">
        <f>'2022(пеня)'!Z172</f>
        <v>33956.409999999996</v>
      </c>
      <c r="F53" s="575">
        <f t="shared" si="1"/>
        <v>104498.78</v>
      </c>
      <c r="G53" s="555"/>
      <c r="H53" s="548"/>
      <c r="I53" s="1544"/>
      <c r="J53" s="1544"/>
      <c r="K53" s="11"/>
    </row>
    <row r="54" spans="1:11" ht="26.25">
      <c r="A54" s="574" t="s">
        <v>114</v>
      </c>
      <c r="B54" s="570">
        <f>'2022(пеня)'!AB115</f>
        <v>2842.92</v>
      </c>
      <c r="C54" s="569">
        <f>'2022(пеня)'!AE115</f>
        <v>46070.380000000005</v>
      </c>
      <c r="D54" s="552">
        <f>'2022(пеня)'!Z144</f>
        <v>41821.28</v>
      </c>
      <c r="E54" s="553">
        <f>'2022(пеня)'!Z173</f>
        <v>40038.39</v>
      </c>
      <c r="F54" s="575">
        <f t="shared" si="1"/>
        <v>130772.97</v>
      </c>
      <c r="G54" s="555"/>
      <c r="H54" s="548"/>
      <c r="I54" s="834"/>
      <c r="J54" s="834"/>
      <c r="K54" s="11"/>
    </row>
    <row r="55" spans="1:11" ht="26.25">
      <c r="A55" s="574" t="s">
        <v>150</v>
      </c>
      <c r="B55" s="570">
        <f>'2022(пеня)'!AB116</f>
        <v>0</v>
      </c>
      <c r="C55" s="569">
        <f>'2022(пеня)'!AE116</f>
        <v>16497.34</v>
      </c>
      <c r="D55" s="552">
        <f>'2022(пеня)'!Z145</f>
        <v>14968.17</v>
      </c>
      <c r="E55" s="553">
        <f>'2022(пеня)'!Z174</f>
        <v>11988.84</v>
      </c>
      <c r="F55" s="575">
        <f t="shared" si="1"/>
        <v>43454.350000000006</v>
      </c>
      <c r="G55" s="555"/>
      <c r="H55" s="548"/>
      <c r="I55" s="834"/>
      <c r="J55" s="834"/>
      <c r="K55" s="11"/>
    </row>
    <row r="56" spans="1:11" ht="26.25">
      <c r="A56" s="560" t="s">
        <v>192</v>
      </c>
      <c r="B56" s="570">
        <f>'2022(пеня)'!AB117</f>
        <v>20303.739999999998</v>
      </c>
      <c r="C56" s="569">
        <f>'2022(пеня)'!AE117</f>
        <v>49815.01</v>
      </c>
      <c r="D56" s="552">
        <f>'2022(пеня)'!Z146</f>
        <v>42604.82</v>
      </c>
      <c r="E56" s="553">
        <f>'2022(пеня)'!Z175</f>
        <v>35312.66</v>
      </c>
      <c r="F56" s="575">
        <f t="shared" si="1"/>
        <v>148036.23</v>
      </c>
      <c r="G56" s="555"/>
      <c r="H56" s="548"/>
      <c r="I56" s="1544"/>
      <c r="J56" s="1544"/>
      <c r="K56" s="11"/>
    </row>
    <row r="57" spans="1:11" ht="26.25">
      <c r="A57" s="885" t="s">
        <v>193</v>
      </c>
      <c r="B57" s="570">
        <f>'2022(пеня)'!AB118</f>
        <v>3498</v>
      </c>
      <c r="C57" s="569">
        <f>'2022(пеня)'!AE118</f>
        <v>67897.58</v>
      </c>
      <c r="D57" s="552">
        <f>'2022(пеня)'!Z147</f>
        <v>72707.23</v>
      </c>
      <c r="E57" s="553">
        <f>'2022(пеня)'!Z176</f>
        <v>55107.02</v>
      </c>
      <c r="F57" s="575">
        <f t="shared" si="1"/>
        <v>199209.83</v>
      </c>
      <c r="G57" s="555"/>
      <c r="H57" s="548"/>
      <c r="I57" s="834"/>
      <c r="J57" s="834"/>
      <c r="K57" s="11"/>
    </row>
    <row r="58" spans="1:11" ht="26.25">
      <c r="A58" s="574" t="s">
        <v>219</v>
      </c>
      <c r="B58" s="570">
        <f>'2022(пеня)'!AB119</f>
        <v>1927.08</v>
      </c>
      <c r="C58" s="569">
        <f>'2022(пеня)'!AE119</f>
        <v>60220.25</v>
      </c>
      <c r="D58" s="552">
        <f>'2022(пеня)'!Z148</f>
        <v>63817.880000000005</v>
      </c>
      <c r="E58" s="553">
        <f>'2022(пеня)'!Z177</f>
        <v>41952.119999999995</v>
      </c>
      <c r="F58" s="575">
        <f t="shared" si="1"/>
        <v>167917.33000000002</v>
      </c>
      <c r="G58" s="555"/>
      <c r="H58" s="548"/>
      <c r="I58" s="844"/>
      <c r="J58" s="844"/>
      <c r="K58" s="11"/>
    </row>
    <row r="59" spans="1:11" ht="27" thickBot="1">
      <c r="A59" s="885" t="s">
        <v>239</v>
      </c>
      <c r="B59" s="570">
        <f>'2022(пеня)'!AB120</f>
        <v>0</v>
      </c>
      <c r="C59" s="569">
        <f>'2022(пеня)'!AE120</f>
        <v>30018.02</v>
      </c>
      <c r="D59" s="594">
        <f>'2022(пеня)'!Z149</f>
        <v>17318.43</v>
      </c>
      <c r="E59" s="553">
        <f>'2022(пеня)'!Z178</f>
        <v>9648.54</v>
      </c>
      <c r="F59" s="700">
        <f t="shared" si="1"/>
        <v>56984.99</v>
      </c>
      <c r="G59" s="555"/>
      <c r="H59" s="548"/>
      <c r="I59" s="844"/>
      <c r="J59" s="844"/>
      <c r="K59" s="11"/>
    </row>
    <row r="60" spans="1:11" ht="24.75" customHeight="1" thickBot="1">
      <c r="A60" s="1006" t="s">
        <v>21</v>
      </c>
      <c r="B60" s="1007">
        <f>SUM(B35:B59)</f>
        <v>84280.51</v>
      </c>
      <c r="C60" s="1008">
        <f>SUM(C35:C59)</f>
        <v>928480.8299999998</v>
      </c>
      <c r="D60" s="1009">
        <f>'2022(пеня)'!Z150</f>
        <v>888086.7100000002</v>
      </c>
      <c r="E60" s="1010">
        <f>'2022(пеня)'!Z179</f>
        <v>845380.92</v>
      </c>
      <c r="F60" s="1011">
        <f t="shared" si="1"/>
        <v>2746228.97</v>
      </c>
      <c r="G60" s="555"/>
      <c r="H60" s="549"/>
      <c r="I60" s="1544"/>
      <c r="J60" s="1544"/>
      <c r="K60" s="11"/>
    </row>
    <row r="61" spans="1:11" ht="36.75" customHeight="1" thickBot="1">
      <c r="A61" s="561"/>
      <c r="B61" s="562"/>
      <c r="C61" s="562"/>
      <c r="D61" s="563"/>
      <c r="E61" s="596"/>
      <c r="F61" s="596"/>
      <c r="G61" s="566"/>
      <c r="H61" s="550"/>
      <c r="I61" s="1544"/>
      <c r="J61" s="1544"/>
      <c r="K61" s="11"/>
    </row>
    <row r="62" spans="1:11" ht="15">
      <c r="A62" s="567"/>
      <c r="B62" s="567"/>
      <c r="C62" s="567"/>
      <c r="D62" s="567"/>
      <c r="E62" s="567"/>
      <c r="F62" s="568"/>
      <c r="G62" s="568"/>
      <c r="H62" s="11"/>
      <c r="K62" s="11"/>
    </row>
    <row r="63" spans="7:11" ht="15">
      <c r="G63" s="53"/>
      <c r="K63" s="11"/>
    </row>
    <row r="64" ht="15">
      <c r="K64" s="11"/>
    </row>
    <row r="65" spans="1:11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9" spans="5:12" ht="26.25">
      <c r="E69" s="1545" t="s">
        <v>175</v>
      </c>
      <c r="F69" s="1545"/>
      <c r="G69" s="1545"/>
      <c r="H69" s="1545"/>
      <c r="I69" s="1545"/>
      <c r="J69" s="1545"/>
      <c r="K69" s="1545"/>
      <c r="L69" s="1545"/>
    </row>
    <row r="70" spans="1:7" ht="42" customHeight="1" thickBot="1">
      <c r="A70" s="1546" t="s">
        <v>91</v>
      </c>
      <c r="B70" s="1546"/>
      <c r="C70" s="1546"/>
      <c r="D70" s="1546"/>
      <c r="E70" s="1546"/>
      <c r="F70" s="1546"/>
      <c r="G70" s="1546"/>
    </row>
    <row r="71" spans="1:7" ht="62.25" customHeight="1">
      <c r="A71" s="1547" t="s">
        <v>1</v>
      </c>
      <c r="B71" s="1549" t="s">
        <v>296</v>
      </c>
      <c r="C71" s="1551" t="s">
        <v>297</v>
      </c>
      <c r="D71" s="1553" t="s">
        <v>298</v>
      </c>
      <c r="E71" s="1555" t="s">
        <v>299</v>
      </c>
      <c r="F71" s="1555" t="s">
        <v>163</v>
      </c>
      <c r="G71" s="1558"/>
    </row>
    <row r="72" spans="1:7" ht="96.75" customHeight="1" thickBot="1">
      <c r="A72" s="1548"/>
      <c r="B72" s="1550"/>
      <c r="C72" s="1552"/>
      <c r="D72" s="1554"/>
      <c r="E72" s="1555"/>
      <c r="F72" s="1555"/>
      <c r="G72" s="1558"/>
    </row>
    <row r="73" spans="1:7" ht="25.5">
      <c r="A73" s="551" t="s">
        <v>47</v>
      </c>
      <c r="B73" s="570">
        <f>'2022(пеня)'!AB183</f>
        <v>12815.400000000001</v>
      </c>
      <c r="C73" s="569">
        <f>'2022(пеня)'!AE183</f>
        <v>12320.21</v>
      </c>
      <c r="D73" s="552">
        <f>'2022(пеня)'!Z213</f>
        <v>13465.87</v>
      </c>
      <c r="E73" s="553">
        <f>'2022(пеня)'!Z244</f>
        <v>15232.45</v>
      </c>
      <c r="F73" s="575">
        <f>C73+D73+E73</f>
        <v>41018.53</v>
      </c>
      <c r="G73" s="555"/>
    </row>
    <row r="74" spans="1:7" ht="25.5">
      <c r="A74" s="556" t="s">
        <v>53</v>
      </c>
      <c r="B74" s="570">
        <f>'2022(пеня)'!AB184</f>
        <v>0</v>
      </c>
      <c r="C74" s="569">
        <f>'2022(пеня)'!AE184</f>
        <v>27256.54</v>
      </c>
      <c r="D74" s="552">
        <f>'2022(пеня)'!Z214</f>
        <v>30326.149999999998</v>
      </c>
      <c r="E74" s="553">
        <f>'2022(пеня)'!Z245</f>
        <v>31560.47</v>
      </c>
      <c r="F74" s="575">
        <f aca="true" t="shared" si="2" ref="F74:F98">C74+D74+E74</f>
        <v>89143.16</v>
      </c>
      <c r="G74" s="555"/>
    </row>
    <row r="75" spans="1:7" ht="25.5">
      <c r="A75" s="556" t="s">
        <v>144</v>
      </c>
      <c r="B75" s="570">
        <f>'2022(пеня)'!AB185</f>
        <v>0</v>
      </c>
      <c r="C75" s="569">
        <f>'2022(пеня)'!AE185</f>
        <v>0</v>
      </c>
      <c r="D75" s="552">
        <f>'2022(пеня)'!Z215</f>
        <v>0</v>
      </c>
      <c r="E75" s="553">
        <f>'2022(пеня)'!Z246</f>
        <v>0</v>
      </c>
      <c r="F75" s="575">
        <f t="shared" si="2"/>
        <v>0</v>
      </c>
      <c r="G75" s="555"/>
    </row>
    <row r="76" spans="1:7" ht="25.5">
      <c r="A76" s="556" t="s">
        <v>48</v>
      </c>
      <c r="B76" s="570">
        <f>'2022(пеня)'!AB186</f>
        <v>3257.91</v>
      </c>
      <c r="C76" s="569">
        <f>'2022(пеня)'!AE186</f>
        <v>69769.03</v>
      </c>
      <c r="D76" s="552">
        <f>'2022(пеня)'!Z216</f>
        <v>69233.20000000001</v>
      </c>
      <c r="E76" s="553">
        <f>'2022(пеня)'!Z247</f>
        <v>65450.45</v>
      </c>
      <c r="F76" s="575">
        <f t="shared" si="2"/>
        <v>204452.68</v>
      </c>
      <c r="G76" s="555"/>
    </row>
    <row r="77" spans="1:7" ht="25.5">
      <c r="A77" s="557" t="s">
        <v>9</v>
      </c>
      <c r="B77" s="570">
        <f>'2022(пеня)'!AB187</f>
        <v>0</v>
      </c>
      <c r="C77" s="569">
        <f>'2022(пеня)'!AE187</f>
        <v>19704.64</v>
      </c>
      <c r="D77" s="552">
        <f>'2022(пеня)'!Z217</f>
        <v>18325.39</v>
      </c>
      <c r="E77" s="553">
        <f>'2022(пеня)'!Z248</f>
        <v>14781.73</v>
      </c>
      <c r="F77" s="575">
        <f t="shared" si="2"/>
        <v>52811.759999999995</v>
      </c>
      <c r="G77" s="555"/>
    </row>
    <row r="78" spans="1:7" ht="25.5">
      <c r="A78" s="557" t="s">
        <v>10</v>
      </c>
      <c r="B78" s="570">
        <f>'2022(пеня)'!AB188</f>
        <v>0</v>
      </c>
      <c r="C78" s="569">
        <f>'2022(пеня)'!AE188</f>
        <v>9197.61</v>
      </c>
      <c r="D78" s="552">
        <f>'2022(пеня)'!Z218</f>
        <v>10210.070000000002</v>
      </c>
      <c r="E78" s="553">
        <f>'2022(пеня)'!Z249</f>
        <v>8172.37</v>
      </c>
      <c r="F78" s="575">
        <f t="shared" si="2"/>
        <v>27580.05</v>
      </c>
      <c r="G78" s="555"/>
    </row>
    <row r="79" spans="1:7" ht="25.5">
      <c r="A79" s="557" t="s">
        <v>11</v>
      </c>
      <c r="B79" s="570">
        <f>'2022(пеня)'!AB189</f>
        <v>0</v>
      </c>
      <c r="C79" s="569">
        <f>'2022(пеня)'!AE189</f>
        <v>9130.59</v>
      </c>
      <c r="D79" s="552">
        <f>'2022(пеня)'!Z219</f>
        <v>7449.92</v>
      </c>
      <c r="E79" s="553">
        <f>'2022(пеня)'!Z250</f>
        <v>8307.49</v>
      </c>
      <c r="F79" s="575">
        <f t="shared" si="2"/>
        <v>24888</v>
      </c>
      <c r="G79" s="555"/>
    </row>
    <row r="80" spans="1:7" ht="25.5">
      <c r="A80" s="557" t="s">
        <v>12</v>
      </c>
      <c r="B80" s="570">
        <f>'2022(пеня)'!AB190</f>
        <v>4579.200000000001</v>
      </c>
      <c r="C80" s="569">
        <f>'2022(пеня)'!AE190</f>
        <v>44177.68</v>
      </c>
      <c r="D80" s="552">
        <f>'2022(пеня)'!Z220</f>
        <v>40819.61</v>
      </c>
      <c r="E80" s="553">
        <f>'2022(пеня)'!Z251</f>
        <v>44031.93</v>
      </c>
      <c r="F80" s="575">
        <f t="shared" si="2"/>
        <v>129029.22</v>
      </c>
      <c r="G80" s="555"/>
    </row>
    <row r="81" spans="1:7" ht="25.5">
      <c r="A81" s="557" t="s">
        <v>13</v>
      </c>
      <c r="B81" s="570">
        <f>'2022(пеня)'!AB191</f>
        <v>1935.03</v>
      </c>
      <c r="C81" s="569">
        <f>'2022(пеня)'!AE191</f>
        <v>21139.5</v>
      </c>
      <c r="D81" s="552">
        <f>'2022(пеня)'!Z221</f>
        <v>27183.519999999997</v>
      </c>
      <c r="E81" s="553">
        <f>'2022(пеня)'!Z252</f>
        <v>25370.59</v>
      </c>
      <c r="F81" s="575">
        <f t="shared" si="2"/>
        <v>73693.61</v>
      </c>
      <c r="G81" s="555"/>
    </row>
    <row r="82" spans="1:7" ht="25.5">
      <c r="A82" s="557" t="s">
        <v>14</v>
      </c>
      <c r="B82" s="570">
        <f>'2022(пеня)'!AB192</f>
        <v>7615.039999999999</v>
      </c>
      <c r="C82" s="569">
        <f>'2022(пеня)'!AE192</f>
        <v>31747.25</v>
      </c>
      <c r="D82" s="552">
        <f>'2022(пеня)'!Z222</f>
        <v>34678.92</v>
      </c>
      <c r="E82" s="553">
        <f>'2022(пеня)'!Z253</f>
        <v>28610.37</v>
      </c>
      <c r="F82" s="575">
        <f t="shared" si="2"/>
        <v>95036.54</v>
      </c>
      <c r="G82" s="555"/>
    </row>
    <row r="83" spans="1:7" ht="25.5">
      <c r="A83" s="557" t="s">
        <v>55</v>
      </c>
      <c r="B83" s="570">
        <f>'2022(пеня)'!AB193</f>
        <v>1117.77</v>
      </c>
      <c r="C83" s="569">
        <f>'2022(пеня)'!AE193</f>
        <v>14123.38</v>
      </c>
      <c r="D83" s="552">
        <f>'2022(пеня)'!Z223</f>
        <v>13515.380000000001</v>
      </c>
      <c r="E83" s="553">
        <f>'2022(пеня)'!Z254</f>
        <v>13448.38</v>
      </c>
      <c r="F83" s="575">
        <f t="shared" si="2"/>
        <v>41087.14</v>
      </c>
      <c r="G83" s="555"/>
    </row>
    <row r="84" spans="1:7" ht="25.5">
      <c r="A84" s="557" t="s">
        <v>15</v>
      </c>
      <c r="B84" s="570">
        <f>'2022(пеня)'!AB194</f>
        <v>1063.71</v>
      </c>
      <c r="C84" s="569">
        <f>'2022(пеня)'!AE194</f>
        <v>38536.479999999996</v>
      </c>
      <c r="D84" s="552">
        <f>'2022(пеня)'!Z224</f>
        <v>31873.920000000002</v>
      </c>
      <c r="E84" s="553">
        <f>'2022(пеня)'!Z255</f>
        <v>34096.4</v>
      </c>
      <c r="F84" s="575">
        <f t="shared" si="2"/>
        <v>104506.79999999999</v>
      </c>
      <c r="G84" s="555"/>
    </row>
    <row r="85" spans="1:7" ht="25.5">
      <c r="A85" s="557" t="s">
        <v>16</v>
      </c>
      <c r="B85" s="570">
        <f>'2022(пеня)'!AB195</f>
        <v>0</v>
      </c>
      <c r="C85" s="569">
        <f>'2022(пеня)'!AE195</f>
        <v>31899.329999999998</v>
      </c>
      <c r="D85" s="552">
        <f>'2022(пеня)'!Z225</f>
        <v>28749.879999999997</v>
      </c>
      <c r="E85" s="553">
        <f>'2022(пеня)'!Z256</f>
        <v>25577.82</v>
      </c>
      <c r="F85" s="575">
        <f t="shared" si="2"/>
        <v>86227.03</v>
      </c>
      <c r="G85" s="555"/>
    </row>
    <row r="86" spans="1:7" ht="25.5">
      <c r="A86" s="558" t="s">
        <v>17</v>
      </c>
      <c r="B86" s="570">
        <v>0</v>
      </c>
      <c r="C86" s="569">
        <f>'2022(пеня)'!AE196</f>
        <v>39443.590000000004</v>
      </c>
      <c r="D86" s="552">
        <f>'2022(пеня)'!Z226</f>
        <v>34801.03</v>
      </c>
      <c r="E86" s="553">
        <f>'2022(пеня)'!Z257</f>
        <v>33120.22</v>
      </c>
      <c r="F86" s="575">
        <f t="shared" si="2"/>
        <v>107364.84</v>
      </c>
      <c r="G86" s="555"/>
    </row>
    <row r="87" spans="1:7" ht="25.5">
      <c r="A87" s="559" t="s">
        <v>18</v>
      </c>
      <c r="B87" s="570">
        <f>'2022(пеня)'!AB197</f>
        <v>9315.81</v>
      </c>
      <c r="C87" s="569">
        <f>'2022(пеня)'!AE197</f>
        <v>77834.89</v>
      </c>
      <c r="D87" s="552">
        <f>'2022(пеня)'!Z227</f>
        <v>71333.3</v>
      </c>
      <c r="E87" s="553">
        <f>'2022(пеня)'!Z258</f>
        <v>78572.78</v>
      </c>
      <c r="F87" s="575">
        <f t="shared" si="2"/>
        <v>227740.97</v>
      </c>
      <c r="G87" s="555"/>
    </row>
    <row r="88" spans="1:7" ht="25.5">
      <c r="A88" s="560" t="s">
        <v>54</v>
      </c>
      <c r="B88" s="570">
        <f>'2022(пеня)'!AB198</f>
        <v>0</v>
      </c>
      <c r="C88" s="569">
        <f>'2022(пеня)'!AE198</f>
        <v>35805.26</v>
      </c>
      <c r="D88" s="552">
        <f>'2022(пеня)'!Z228</f>
        <v>36930.85</v>
      </c>
      <c r="E88" s="553">
        <f>'2022(пеня)'!Z259</f>
        <v>39052.81</v>
      </c>
      <c r="F88" s="575">
        <f t="shared" si="2"/>
        <v>111788.92</v>
      </c>
      <c r="G88" s="555"/>
    </row>
    <row r="89" spans="1:7" ht="25.5">
      <c r="A89" s="560" t="s">
        <v>49</v>
      </c>
      <c r="B89" s="570">
        <f>'2022(пеня)'!AB199</f>
        <v>10808.29</v>
      </c>
      <c r="C89" s="569">
        <f>'2022(пеня)'!AE199</f>
        <v>67194.92</v>
      </c>
      <c r="D89" s="552">
        <f>'2022(пеня)'!Z229</f>
        <v>67234.53</v>
      </c>
      <c r="E89" s="553">
        <f>'2022(пеня)'!Z260</f>
        <v>75397.49</v>
      </c>
      <c r="F89" s="575">
        <f t="shared" si="2"/>
        <v>209826.94</v>
      </c>
      <c r="G89" s="555"/>
    </row>
    <row r="90" spans="1:7" ht="25.5">
      <c r="A90" s="560" t="s">
        <v>19</v>
      </c>
      <c r="B90" s="570">
        <f>'2022(пеня)'!AB200</f>
        <v>2759.71</v>
      </c>
      <c r="C90" s="569">
        <f>'2022(пеня)'!AE200</f>
        <v>51870.33</v>
      </c>
      <c r="D90" s="552">
        <f>'2022(пеня)'!Z230</f>
        <v>52013.88</v>
      </c>
      <c r="E90" s="553">
        <f>'2022(пеня)'!Z261</f>
        <v>53581.62</v>
      </c>
      <c r="F90" s="575">
        <f t="shared" si="2"/>
        <v>157465.83</v>
      </c>
      <c r="G90" s="555"/>
    </row>
    <row r="91" spans="1:7" ht="25.5">
      <c r="A91" s="574" t="s">
        <v>20</v>
      </c>
      <c r="B91" s="570">
        <f>'2022(пеня)'!AB201</f>
        <v>3160.3</v>
      </c>
      <c r="C91" s="569">
        <f>'2022(пеня)'!AE201</f>
        <v>31047.7</v>
      </c>
      <c r="D91" s="552">
        <f>'2022(пеня)'!Z231</f>
        <v>34078.6</v>
      </c>
      <c r="E91" s="553">
        <f>'2022(пеня)'!Z262</f>
        <v>32181.83</v>
      </c>
      <c r="F91" s="575">
        <f t="shared" si="2"/>
        <v>97308.13</v>
      </c>
      <c r="G91" s="555"/>
    </row>
    <row r="92" spans="1:7" ht="25.5">
      <c r="A92" s="574" t="s">
        <v>114</v>
      </c>
      <c r="B92" s="570">
        <f>'2022(пеня)'!AB202</f>
        <v>4264.38</v>
      </c>
      <c r="C92" s="569">
        <f>'2022(пеня)'!AE202</f>
        <v>50522.52</v>
      </c>
      <c r="D92" s="552">
        <f>'2022(пеня)'!Z232</f>
        <v>47797.52</v>
      </c>
      <c r="E92" s="553">
        <f>'2022(пеня)'!Z263</f>
        <v>43882.32</v>
      </c>
      <c r="F92" s="575">
        <f t="shared" si="2"/>
        <v>142202.36</v>
      </c>
      <c r="G92" s="555"/>
    </row>
    <row r="93" spans="1:7" ht="25.5">
      <c r="A93" s="574" t="s">
        <v>150</v>
      </c>
      <c r="B93" s="570">
        <f>'2022(пеня)'!AB203</f>
        <v>0</v>
      </c>
      <c r="C93" s="569">
        <f>'2022(пеня)'!AE203</f>
        <v>16337.189999999999</v>
      </c>
      <c r="D93" s="552">
        <f>'2022(пеня)'!Z233</f>
        <v>12223.6</v>
      </c>
      <c r="E93" s="553">
        <f>'2022(пеня)'!Z264</f>
        <v>13009.960000000001</v>
      </c>
      <c r="F93" s="575">
        <f t="shared" si="2"/>
        <v>41570.75</v>
      </c>
      <c r="G93" s="555"/>
    </row>
    <row r="94" spans="1:11" ht="26.25">
      <c r="A94" s="560" t="s">
        <v>192</v>
      </c>
      <c r="B94" s="570">
        <f>'2022(пеня)'!AB204</f>
        <v>5305.39</v>
      </c>
      <c r="C94" s="569">
        <f>'2022(пеня)'!AE204</f>
        <v>41936.310000000005</v>
      </c>
      <c r="D94" s="552">
        <f>'2022(пеня)'!Z234</f>
        <v>39400.89</v>
      </c>
      <c r="E94" s="553">
        <f>'2022(пеня)'!Z265</f>
        <v>42515.13</v>
      </c>
      <c r="F94" s="575">
        <f t="shared" si="2"/>
        <v>123852.33000000002</v>
      </c>
      <c r="G94" s="555"/>
      <c r="H94" s="548"/>
      <c r="I94" s="1544"/>
      <c r="J94" s="1544"/>
      <c r="K94" s="11"/>
    </row>
    <row r="95" spans="1:11" ht="26.25">
      <c r="A95" s="574" t="s">
        <v>193</v>
      </c>
      <c r="B95" s="570">
        <f>'2022(пеня)'!AB205</f>
        <v>5326.49</v>
      </c>
      <c r="C95" s="569">
        <f>'2022(пеня)'!AE205</f>
        <v>70033.01999999999</v>
      </c>
      <c r="D95" s="552">
        <f>'2022(пеня)'!Z235</f>
        <v>54752.78</v>
      </c>
      <c r="E95" s="553">
        <f>'2022(пеня)'!Z266</f>
        <v>43060.19</v>
      </c>
      <c r="F95" s="575">
        <f t="shared" si="2"/>
        <v>167845.99</v>
      </c>
      <c r="G95" s="555"/>
      <c r="H95" s="548"/>
      <c r="I95" s="834"/>
      <c r="J95" s="834"/>
      <c r="K95" s="11"/>
    </row>
    <row r="96" spans="1:11" ht="26.25">
      <c r="A96" s="574" t="s">
        <v>217</v>
      </c>
      <c r="B96" s="570">
        <f>'2022(пеня)'!AB206</f>
        <v>1284.72</v>
      </c>
      <c r="C96" s="569">
        <f>'2022(пеня)'!AE206</f>
        <v>48955.409999999996</v>
      </c>
      <c r="D96" s="552">
        <f>'2022(пеня)'!Z236</f>
        <v>41459.71</v>
      </c>
      <c r="E96" s="553">
        <f>'2022(пеня)'!Z267</f>
        <v>37025.259999999995</v>
      </c>
      <c r="F96" s="575">
        <f t="shared" si="2"/>
        <v>127440.37999999999</v>
      </c>
      <c r="G96" s="555"/>
      <c r="H96" s="548"/>
      <c r="I96" s="844"/>
      <c r="J96" s="844"/>
      <c r="K96" s="11"/>
    </row>
    <row r="97" spans="1:11" ht="26.25">
      <c r="A97" s="1066" t="s">
        <v>257</v>
      </c>
      <c r="B97" s="837">
        <f>'2022(пеня)'!AB207</f>
        <v>0</v>
      </c>
      <c r="C97" s="1067">
        <f>'2022(пеня)'!AE207</f>
        <v>7068.0599999999995</v>
      </c>
      <c r="D97" s="1068">
        <f>'2022(пеня)'!Z237</f>
        <v>40276.42</v>
      </c>
      <c r="E97" s="553">
        <f>'2022(пеня)'!Z268</f>
        <v>25151.480000000003</v>
      </c>
      <c r="F97" s="575">
        <f t="shared" si="2"/>
        <v>72495.95999999999</v>
      </c>
      <c r="G97" s="555"/>
      <c r="H97" s="548"/>
      <c r="I97" s="844"/>
      <c r="J97" s="844"/>
      <c r="K97" s="11"/>
    </row>
    <row r="98" spans="1:11" ht="26.25">
      <c r="A98" s="1065" t="s">
        <v>306</v>
      </c>
      <c r="B98" s="837"/>
      <c r="C98" s="1067"/>
      <c r="D98" s="1068">
        <f>'2022(пеня)'!Z238</f>
        <v>8623.19</v>
      </c>
      <c r="E98" s="553">
        <f>'2022(пеня)'!Z269</f>
        <v>47401.05</v>
      </c>
      <c r="F98" s="575">
        <f t="shared" si="2"/>
        <v>56024.240000000005</v>
      </c>
      <c r="G98" s="555"/>
      <c r="H98" s="548"/>
      <c r="I98" s="1047"/>
      <c r="J98" s="1047"/>
      <c r="K98" s="11"/>
    </row>
    <row r="99" spans="1:7" ht="26.25" thickBot="1">
      <c r="A99" s="573" t="s">
        <v>21</v>
      </c>
      <c r="B99" s="887">
        <f>SUM(B73:B98)</f>
        <v>74609.15000000001</v>
      </c>
      <c r="C99" s="706">
        <f>SUM(C73:C98)</f>
        <v>867051.4400000001</v>
      </c>
      <c r="D99" s="707">
        <f>SUM(D73:D98)</f>
        <v>866758.1299999999</v>
      </c>
      <c r="E99" s="888">
        <f>SUM(E73:E98)</f>
        <v>878592.5900000001</v>
      </c>
      <c r="F99" s="886">
        <f>B99+C99+D99+E99</f>
        <v>2687011.31</v>
      </c>
      <c r="G99" s="555"/>
    </row>
    <row r="100" spans="1:7" ht="27" thickBot="1">
      <c r="A100" s="561"/>
      <c r="B100" s="1046"/>
      <c r="C100" s="562"/>
      <c r="D100" s="563"/>
      <c r="E100" s="595"/>
      <c r="F100" s="596"/>
      <c r="G100" s="566"/>
    </row>
    <row r="101" spans="1:7" ht="26.25">
      <c r="A101" s="597"/>
      <c r="B101" s="597"/>
      <c r="C101" s="597"/>
      <c r="D101" s="565"/>
      <c r="E101" s="597"/>
      <c r="F101" s="565"/>
      <c r="G101" s="566"/>
    </row>
    <row r="102" spans="1:7" ht="26.25">
      <c r="A102" s="597"/>
      <c r="B102" s="597"/>
      <c r="C102" s="597"/>
      <c r="D102" s="565"/>
      <c r="E102" s="597"/>
      <c r="F102" s="565"/>
      <c r="G102" s="566"/>
    </row>
    <row r="103" spans="1:7" ht="26.25">
      <c r="A103" s="597"/>
      <c r="B103" s="597"/>
      <c r="C103" s="597"/>
      <c r="D103" s="565"/>
      <c r="E103" s="597"/>
      <c r="F103" s="565"/>
      <c r="G103" s="566"/>
    </row>
    <row r="104" spans="5:12" ht="26.25">
      <c r="E104" s="1545" t="s">
        <v>176</v>
      </c>
      <c r="F104" s="1545"/>
      <c r="G104" s="1545"/>
      <c r="H104" s="1545"/>
      <c r="I104" s="1545"/>
      <c r="J104" s="1545"/>
      <c r="K104" s="1545"/>
      <c r="L104" s="1545"/>
    </row>
    <row r="105" spans="1:7" ht="24" thickBot="1">
      <c r="A105" s="1546" t="s">
        <v>91</v>
      </c>
      <c r="B105" s="1546"/>
      <c r="C105" s="1546"/>
      <c r="D105" s="1546"/>
      <c r="E105" s="1546"/>
      <c r="F105" s="1546"/>
      <c r="G105" s="1546"/>
    </row>
    <row r="106" spans="1:7" ht="45" customHeight="1">
      <c r="A106" s="1547" t="s">
        <v>1</v>
      </c>
      <c r="B106" s="1549" t="s">
        <v>177</v>
      </c>
      <c r="C106" s="1551" t="s">
        <v>178</v>
      </c>
      <c r="D106" s="1553" t="s">
        <v>179</v>
      </c>
      <c r="E106" s="1555" t="s">
        <v>363</v>
      </c>
      <c r="F106" s="1555" t="s">
        <v>165</v>
      </c>
      <c r="G106" s="1556" t="s">
        <v>390</v>
      </c>
    </row>
    <row r="107" spans="1:7" ht="75" customHeight="1" thickBot="1">
      <c r="A107" s="1548"/>
      <c r="B107" s="1550"/>
      <c r="C107" s="1552"/>
      <c r="D107" s="1554"/>
      <c r="E107" s="1555"/>
      <c r="F107" s="1555"/>
      <c r="G107" s="1557"/>
    </row>
    <row r="108" spans="1:7" ht="26.25">
      <c r="A108" s="551" t="s">
        <v>47</v>
      </c>
      <c r="B108" s="570">
        <f>'2022(пеня)'!AB275</f>
        <v>8543.6</v>
      </c>
      <c r="C108" s="569">
        <f>'2022(пеня)'!AE275</f>
        <v>14058.24</v>
      </c>
      <c r="D108" s="552">
        <f>'2022(пеня)'!Z308</f>
        <v>12501.82</v>
      </c>
      <c r="E108" s="553">
        <f>'2022(пеня)'!Z339+'2022(пеня)'!AE371</f>
        <v>39209.97</v>
      </c>
      <c r="F108" s="575">
        <f>B108+C108+D108+E108</f>
        <v>74313.63</v>
      </c>
      <c r="G108" s="835">
        <f>'2022(пеня)'!AB371</f>
        <v>18949.620000000003</v>
      </c>
    </row>
    <row r="109" spans="1:7" ht="26.25">
      <c r="A109" s="556" t="s">
        <v>53</v>
      </c>
      <c r="B109" s="570">
        <f>'2022(пеня)'!AB276</f>
        <v>966.24</v>
      </c>
      <c r="C109" s="569">
        <f>'2022(пеня)'!AE276</f>
        <v>26197.32</v>
      </c>
      <c r="D109" s="552">
        <f>'2022(пеня)'!Z309</f>
        <v>34412.409999999996</v>
      </c>
      <c r="E109" s="553">
        <f>'2022(пеня)'!Z340+'2022(пеня)'!AE372</f>
        <v>66241.44</v>
      </c>
      <c r="F109" s="575">
        <f>B109+C109+D109+E109</f>
        <v>127817.41</v>
      </c>
      <c r="G109" s="835">
        <f>'2022(пеня)'!AB372</f>
        <v>741.52</v>
      </c>
    </row>
    <row r="110" spans="1:7" ht="26.25">
      <c r="A110" s="556" t="s">
        <v>144</v>
      </c>
      <c r="B110" s="570">
        <f>'2022(пеня)'!AB277</f>
        <v>0</v>
      </c>
      <c r="C110" s="569">
        <f>'2022(пеня)'!AE277</f>
        <v>0</v>
      </c>
      <c r="D110" s="552">
        <f>'2022(пеня)'!Z310</f>
        <v>0</v>
      </c>
      <c r="E110" s="553">
        <f>'2022(пеня)'!Z341+'2022(пеня)'!AE373</f>
        <v>0</v>
      </c>
      <c r="F110" s="575">
        <f aca="true" t="shared" si="3" ref="F110:F134">B110+C110+D110+E110</f>
        <v>0</v>
      </c>
      <c r="G110" s="835">
        <f>'2022(пеня)'!AB373</f>
        <v>0</v>
      </c>
    </row>
    <row r="111" spans="1:7" ht="26.25">
      <c r="A111" s="556" t="s">
        <v>48</v>
      </c>
      <c r="B111" s="570">
        <f>'2022(пеня)'!AB278</f>
        <v>9579.22</v>
      </c>
      <c r="C111" s="569">
        <f>'2022(пеня)'!AE278</f>
        <v>65316.15</v>
      </c>
      <c r="D111" s="552">
        <f>'2022(пеня)'!Z311</f>
        <v>73543.87</v>
      </c>
      <c r="E111" s="553">
        <f>'2022(пеня)'!Z342+'2022(пеня)'!AE374</f>
        <v>168430.78999999998</v>
      </c>
      <c r="F111" s="575">
        <f t="shared" si="3"/>
        <v>316870.02999999997</v>
      </c>
      <c r="G111" s="835">
        <f>'2022(пеня)'!AB374</f>
        <v>10540.22</v>
      </c>
    </row>
    <row r="112" spans="1:7" ht="26.25">
      <c r="A112" s="557" t="s">
        <v>9</v>
      </c>
      <c r="B112" s="570">
        <f>'2022(пеня)'!AB279</f>
        <v>0</v>
      </c>
      <c r="C112" s="569">
        <f>'2022(пеня)'!AE279</f>
        <v>15492.76</v>
      </c>
      <c r="D112" s="552">
        <f>'2022(пеня)'!Z312</f>
        <v>17011.18</v>
      </c>
      <c r="E112" s="553">
        <f>'2022(пеня)'!Z343+'2022(пеня)'!AE375</f>
        <v>42950.72</v>
      </c>
      <c r="F112" s="575">
        <f t="shared" si="3"/>
        <v>75454.66</v>
      </c>
      <c r="G112" s="835">
        <f>'2022(пеня)'!AB375</f>
        <v>2197.91</v>
      </c>
    </row>
    <row r="113" spans="1:7" ht="26.25">
      <c r="A113" s="557" t="s">
        <v>10</v>
      </c>
      <c r="B113" s="570">
        <f>'2022(пеня)'!AB280</f>
        <v>0</v>
      </c>
      <c r="C113" s="569">
        <f>'2022(пеня)'!AE280</f>
        <v>6996.4800000000005</v>
      </c>
      <c r="D113" s="552">
        <f>'2022(пеня)'!Z313</f>
        <v>8302.23</v>
      </c>
      <c r="E113" s="553">
        <f>'2022(пеня)'!Z344+'2022(пеня)'!AE376</f>
        <v>15530.7</v>
      </c>
      <c r="F113" s="575">
        <f t="shared" si="3"/>
        <v>30829.41</v>
      </c>
      <c r="G113" s="835">
        <f>'2022(пеня)'!AB376</f>
        <v>0</v>
      </c>
    </row>
    <row r="114" spans="1:7" ht="26.25">
      <c r="A114" s="557" t="s">
        <v>11</v>
      </c>
      <c r="B114" s="570">
        <f>'2022(пеня)'!AB281</f>
        <v>0</v>
      </c>
      <c r="C114" s="569">
        <f>'2022(пеня)'!AE281</f>
        <v>7416.349999999999</v>
      </c>
      <c r="D114" s="552">
        <f>'2022(пеня)'!Z314</f>
        <v>6222.95</v>
      </c>
      <c r="E114" s="553">
        <f>'2022(пеня)'!Z345+'2022(пеня)'!AE377</f>
        <v>18115.190000000002</v>
      </c>
      <c r="F114" s="575">
        <f t="shared" si="3"/>
        <v>31754.49</v>
      </c>
      <c r="G114" s="835">
        <f>'2022(пеня)'!AB377</f>
        <v>0</v>
      </c>
    </row>
    <row r="115" spans="1:7" ht="26.25">
      <c r="A115" s="557" t="s">
        <v>12</v>
      </c>
      <c r="B115" s="570">
        <f>'2022(пеня)'!AB282</f>
        <v>4579.200000000001</v>
      </c>
      <c r="C115" s="569">
        <f>'2022(пеня)'!AE282</f>
        <v>45560.98</v>
      </c>
      <c r="D115" s="552">
        <f>'2022(пеня)'!Z315</f>
        <v>47289.94</v>
      </c>
      <c r="E115" s="553">
        <f>'2022(пеня)'!Z346+'2022(пеня)'!AE378</f>
        <v>98339.64</v>
      </c>
      <c r="F115" s="575">
        <f t="shared" si="3"/>
        <v>195769.76</v>
      </c>
      <c r="G115" s="835">
        <f>'2022(пеня)'!AB378</f>
        <v>5096.4800000000005</v>
      </c>
    </row>
    <row r="116" spans="1:7" ht="26.25">
      <c r="A116" s="557" t="s">
        <v>13</v>
      </c>
      <c r="B116" s="570">
        <f>'2022(пеня)'!AB283</f>
        <v>1935.03</v>
      </c>
      <c r="C116" s="569">
        <f>'2022(пеня)'!AE283</f>
        <v>28066.649999999998</v>
      </c>
      <c r="D116" s="552">
        <f>'2022(пеня)'!Z316</f>
        <v>24126.87</v>
      </c>
      <c r="E116" s="553">
        <f>'2022(пеня)'!Z347+'2022(пеня)'!AE379</f>
        <v>56589.75</v>
      </c>
      <c r="F116" s="575">
        <f t="shared" si="3"/>
        <v>110718.29999999999</v>
      </c>
      <c r="G116" s="835">
        <f>'2022(пеня)'!AB379</f>
        <v>2109.4</v>
      </c>
    </row>
    <row r="117" spans="1:7" ht="26.25">
      <c r="A117" s="557" t="s">
        <v>14</v>
      </c>
      <c r="B117" s="570">
        <f>'2022(пеня)'!AB284</f>
        <v>6519.530000000001</v>
      </c>
      <c r="C117" s="569">
        <f>'2022(пеня)'!AE284</f>
        <v>31347.780000000002</v>
      </c>
      <c r="D117" s="552">
        <f>'2022(пеня)'!Z317</f>
        <v>31202.68</v>
      </c>
      <c r="E117" s="553">
        <f>'2022(пеня)'!Z348+'2022(пеня)'!AE380</f>
        <v>65199.200000000004</v>
      </c>
      <c r="F117" s="575">
        <f t="shared" si="3"/>
        <v>134269.19</v>
      </c>
      <c r="G117" s="835">
        <f>'2022(пеня)'!AB380</f>
        <v>9010.539999999999</v>
      </c>
    </row>
    <row r="118" spans="1:7" ht="26.25">
      <c r="A118" s="557" t="s">
        <v>55</v>
      </c>
      <c r="B118" s="570">
        <f>'2022(пеня)'!AB285</f>
        <v>1490.36</v>
      </c>
      <c r="C118" s="569">
        <f>'2022(пеня)'!AE285</f>
        <v>13042.2</v>
      </c>
      <c r="D118" s="552">
        <f>'2022(пеня)'!Z318</f>
        <v>13855.72</v>
      </c>
      <c r="E118" s="553">
        <f>'2022(пеня)'!Z349+'2022(пеня)'!AE381</f>
        <v>40003.21</v>
      </c>
      <c r="F118" s="575">
        <f t="shared" si="3"/>
        <v>68391.48999999999</v>
      </c>
      <c r="G118" s="835">
        <f>'2022(пеня)'!AB381</f>
        <v>1675.86</v>
      </c>
    </row>
    <row r="119" spans="1:7" ht="26.25">
      <c r="A119" s="557" t="s">
        <v>15</v>
      </c>
      <c r="B119" s="570">
        <f>'2022(пеня)'!AB286</f>
        <v>3206.5</v>
      </c>
      <c r="C119" s="569">
        <f>'2022(пеня)'!AE286</f>
        <v>34578.7</v>
      </c>
      <c r="D119" s="552">
        <f>'2022(пеня)'!Z319</f>
        <v>33654.549999999996</v>
      </c>
      <c r="E119" s="553">
        <f>'2022(пеня)'!Z350+'2022(пеня)'!AE382</f>
        <v>72698.36</v>
      </c>
      <c r="F119" s="575">
        <f t="shared" si="3"/>
        <v>144138.11</v>
      </c>
      <c r="G119" s="835">
        <f>'2022(пеня)'!AB382</f>
        <v>5334.21</v>
      </c>
    </row>
    <row r="120" spans="1:7" ht="26.25">
      <c r="A120" s="557" t="s">
        <v>16</v>
      </c>
      <c r="B120" s="570">
        <f>'2022(пеня)'!AB287</f>
        <v>1163.88</v>
      </c>
      <c r="C120" s="569">
        <f>'2022(пеня)'!AE287</f>
        <v>29060.19</v>
      </c>
      <c r="D120" s="552">
        <f>'2022(пеня)'!Z320</f>
        <v>30485.91</v>
      </c>
      <c r="E120" s="553">
        <f>'2022(пеня)'!Z351+'2022(пеня)'!AE383</f>
        <v>56923.94</v>
      </c>
      <c r="F120" s="575">
        <f t="shared" si="3"/>
        <v>117633.92</v>
      </c>
      <c r="G120" s="835">
        <f>'2022(пеня)'!AB383</f>
        <v>1454.8</v>
      </c>
    </row>
    <row r="121" spans="1:7" ht="26.25">
      <c r="A121" s="558" t="s">
        <v>17</v>
      </c>
      <c r="B121" s="1022">
        <v>105.47</v>
      </c>
      <c r="C121" s="569">
        <f>'2022(пеня)'!AE288</f>
        <v>36765.33</v>
      </c>
      <c r="D121" s="552">
        <f>'2022(пеня)'!Z321</f>
        <v>36042.86</v>
      </c>
      <c r="E121" s="553">
        <f>'2022(пеня)'!Z352+'2022(пеня)'!AE384</f>
        <v>77389.89</v>
      </c>
      <c r="F121" s="575">
        <f t="shared" si="3"/>
        <v>150303.55</v>
      </c>
      <c r="G121" s="835">
        <f>'2022(пеня)'!AB384</f>
        <v>2227.06</v>
      </c>
    </row>
    <row r="122" spans="1:7" ht="26.25">
      <c r="A122" s="559" t="s">
        <v>18</v>
      </c>
      <c r="B122" s="570">
        <f>'2022(пеня)'!AB289</f>
        <v>5963.030000000001</v>
      </c>
      <c r="C122" s="569">
        <f>'2022(пеня)'!AE289</f>
        <v>71667.67</v>
      </c>
      <c r="D122" s="552">
        <f>'2022(пеня)'!Z322</f>
        <v>73966.31</v>
      </c>
      <c r="E122" s="553">
        <f>'2022(пеня)'!Z353+'2022(пеня)'!AE385</f>
        <v>166897.73</v>
      </c>
      <c r="F122" s="575">
        <f t="shared" si="3"/>
        <v>318494.74</v>
      </c>
      <c r="G122" s="835">
        <f>'2022(пеня)'!AB385</f>
        <v>9399.02</v>
      </c>
    </row>
    <row r="123" spans="1:7" ht="26.25">
      <c r="A123" s="560" t="s">
        <v>54</v>
      </c>
      <c r="B123" s="570">
        <f>'2022(пеня)'!AB290</f>
        <v>0</v>
      </c>
      <c r="C123" s="569">
        <f>'2022(пеня)'!AE290</f>
        <v>31872.54</v>
      </c>
      <c r="D123" s="552">
        <f>'2022(пеня)'!Z323</f>
        <v>35875.86</v>
      </c>
      <c r="E123" s="553">
        <f>'2022(пеня)'!Z354+'2022(пеня)'!AE386</f>
        <v>74941.76</v>
      </c>
      <c r="F123" s="575">
        <f t="shared" si="3"/>
        <v>142690.15999999997</v>
      </c>
      <c r="G123" s="835">
        <f>'2022(пеня)'!AB386</f>
        <v>442.02</v>
      </c>
    </row>
    <row r="124" spans="1:7" ht="26.25">
      <c r="A124" s="560" t="s">
        <v>49</v>
      </c>
      <c r="B124" s="570">
        <f>'2022(пеня)'!AB291</f>
        <v>6547.620000000001</v>
      </c>
      <c r="C124" s="569">
        <f>'2022(пеня)'!AE291</f>
        <v>66821.44</v>
      </c>
      <c r="D124" s="552">
        <f>'2022(пеня)'!Z324</f>
        <v>68630.76</v>
      </c>
      <c r="E124" s="553">
        <f>'2022(пеня)'!Z355+'2022(пеня)'!AE387</f>
        <v>160455.41999999998</v>
      </c>
      <c r="F124" s="575">
        <f t="shared" si="3"/>
        <v>302455.24</v>
      </c>
      <c r="G124" s="835">
        <f>'2022(пеня)'!AB387</f>
        <v>11963.52</v>
      </c>
    </row>
    <row r="125" spans="1:7" ht="26.25">
      <c r="A125" s="560" t="s">
        <v>19</v>
      </c>
      <c r="B125" s="570">
        <f>'2022(пеня)'!AB292</f>
        <v>1843.87</v>
      </c>
      <c r="C125" s="569">
        <f>'2022(пеня)'!AE292</f>
        <v>50521.850000000006</v>
      </c>
      <c r="D125" s="552">
        <f>'2022(пеня)'!Z325</f>
        <v>49789.67</v>
      </c>
      <c r="E125" s="553">
        <f>'2022(пеня)'!Z356+'2022(пеня)'!AE388</f>
        <v>116192.16999999998</v>
      </c>
      <c r="F125" s="575">
        <f t="shared" si="3"/>
        <v>218347.56</v>
      </c>
      <c r="G125" s="835">
        <f>'2022(пеня)'!AB388</f>
        <v>4765.5199999999995</v>
      </c>
    </row>
    <row r="126" spans="1:7" ht="26.25">
      <c r="A126" s="574" t="s">
        <v>20</v>
      </c>
      <c r="B126" s="570">
        <f>'2022(пеня)'!AB293</f>
        <v>689</v>
      </c>
      <c r="C126" s="569">
        <f>'2022(пеня)'!AE293</f>
        <v>32181.53</v>
      </c>
      <c r="D126" s="552">
        <f>'2022(пеня)'!Z326</f>
        <v>34157.47</v>
      </c>
      <c r="E126" s="553">
        <f>'2022(пеня)'!Z357+'2022(пеня)'!AE389</f>
        <v>70982.32</v>
      </c>
      <c r="F126" s="575">
        <f t="shared" si="3"/>
        <v>138010.32</v>
      </c>
      <c r="G126" s="835">
        <f>'2022(пеня)'!AB389</f>
        <v>2756</v>
      </c>
    </row>
    <row r="127" spans="1:7" ht="26.25">
      <c r="A127" s="574" t="s">
        <v>114</v>
      </c>
      <c r="B127" s="570">
        <f>'2022(пеня)'!AB294</f>
        <v>4264.08</v>
      </c>
      <c r="C127" s="569">
        <f>'2022(пеня)'!AE294</f>
        <v>36010.590000000004</v>
      </c>
      <c r="D127" s="552">
        <f>'2022(пеня)'!Z327</f>
        <v>50357.26</v>
      </c>
      <c r="E127" s="553">
        <f>'2022(пеня)'!Z358+'2022(пеня)'!AE390</f>
        <v>90823.86</v>
      </c>
      <c r="F127" s="575">
        <f t="shared" si="3"/>
        <v>181455.79</v>
      </c>
      <c r="G127" s="835">
        <f>'2022(пеня)'!AB390</f>
        <v>5954.55</v>
      </c>
    </row>
    <row r="128" spans="1:7" ht="26.25">
      <c r="A128" s="574" t="s">
        <v>150</v>
      </c>
      <c r="B128" s="570">
        <f>'2022(пеня)'!AB295</f>
        <v>0</v>
      </c>
      <c r="C128" s="569">
        <f>'2022(пеня)'!AE295</f>
        <v>13114.039999999999</v>
      </c>
      <c r="D128" s="552">
        <f>'2022(пеня)'!Z328</f>
        <v>13975.39</v>
      </c>
      <c r="E128" s="553">
        <f>'2022(пеня)'!Z359+'2022(пеня)'!AE391</f>
        <v>31445.9</v>
      </c>
      <c r="F128" s="575">
        <f t="shared" si="3"/>
        <v>58535.33</v>
      </c>
      <c r="G128" s="835">
        <f>'2022(пеня)'!AB391</f>
        <v>0</v>
      </c>
    </row>
    <row r="129" spans="1:11" ht="26.25">
      <c r="A129" s="560" t="s">
        <v>192</v>
      </c>
      <c r="B129" s="570">
        <f>'2022(пеня)'!AB296</f>
        <v>17641.83</v>
      </c>
      <c r="C129" s="569">
        <f>'2022(пеня)'!AE296</f>
        <v>39950.1</v>
      </c>
      <c r="D129" s="552">
        <f>'2022(пеня)'!Z329</f>
        <v>37000.51</v>
      </c>
      <c r="E129" s="553">
        <f>'2022(пеня)'!Z360+'2022(пеня)'!AE392</f>
        <v>83618.44999999998</v>
      </c>
      <c r="F129" s="575">
        <f t="shared" si="3"/>
        <v>178210.88999999998</v>
      </c>
      <c r="G129" s="835">
        <f>'2022(пеня)'!AB392</f>
        <v>10827.67</v>
      </c>
      <c r="H129" s="548"/>
      <c r="I129" s="1544"/>
      <c r="J129" s="1544"/>
      <c r="K129" s="11"/>
    </row>
    <row r="130" spans="1:11" ht="26.25">
      <c r="A130" s="574" t="s">
        <v>193</v>
      </c>
      <c r="B130" s="570">
        <f>'2022(пеня)'!AB297</f>
        <v>701.19</v>
      </c>
      <c r="C130" s="569">
        <f>'2022(пеня)'!AE297</f>
        <v>42152.36</v>
      </c>
      <c r="D130" s="552">
        <f>'2022(пеня)'!Z330</f>
        <v>51274.56</v>
      </c>
      <c r="E130" s="553">
        <f>'2022(пеня)'!Z361+'2022(пеня)'!AE393</f>
        <v>106174.23999999999</v>
      </c>
      <c r="F130" s="575">
        <f t="shared" si="3"/>
        <v>200302.34999999998</v>
      </c>
      <c r="G130" s="835">
        <f>'2022(пеня)'!AB393</f>
        <v>4900.379999999999</v>
      </c>
      <c r="H130" s="548"/>
      <c r="I130" s="834"/>
      <c r="J130" s="834"/>
      <c r="K130" s="11"/>
    </row>
    <row r="131" spans="1:11" ht="26.25">
      <c r="A131" s="574" t="s">
        <v>217</v>
      </c>
      <c r="B131" s="1022">
        <f>'2022(пеня)'!AB298+3995.14</f>
        <v>5922.219999999999</v>
      </c>
      <c r="C131" s="569">
        <f>'2022(пеня)'!AE298</f>
        <v>33093.34</v>
      </c>
      <c r="D131" s="552">
        <f>'2022(пеня)'!Z331</f>
        <v>68456.56</v>
      </c>
      <c r="E131" s="553">
        <f>'2022(пеня)'!Z362+'2022(пеня)'!AE394</f>
        <v>87480.84999999999</v>
      </c>
      <c r="F131" s="575">
        <f t="shared" si="3"/>
        <v>194952.96999999997</v>
      </c>
      <c r="G131" s="835">
        <f>'2022(пеня)'!AB394</f>
        <v>0</v>
      </c>
      <c r="H131" s="548"/>
      <c r="I131" s="834"/>
      <c r="J131" s="834"/>
      <c r="K131" s="11"/>
    </row>
    <row r="132" spans="1:11" ht="26.25">
      <c r="A132" s="574" t="s">
        <v>239</v>
      </c>
      <c r="B132" s="570">
        <f>'2022(пеня)'!AB299</f>
        <v>0</v>
      </c>
      <c r="C132" s="569">
        <f>'2022(пеня)'!AE299</f>
        <v>18197.56</v>
      </c>
      <c r="D132" s="552">
        <f>'2022(пеня)'!Z332</f>
        <v>28536.67</v>
      </c>
      <c r="E132" s="553">
        <f>'2022(пеня)'!Z363+'2022(пеня)'!AE395</f>
        <v>44285.17</v>
      </c>
      <c r="F132" s="575">
        <f t="shared" si="3"/>
        <v>91019.4</v>
      </c>
      <c r="G132" s="835">
        <f>'2022(пеня)'!AB395</f>
        <v>0</v>
      </c>
      <c r="H132" s="548"/>
      <c r="I132" s="834"/>
      <c r="J132" s="834"/>
      <c r="K132" s="11"/>
    </row>
    <row r="133" spans="1:11" ht="26.25">
      <c r="A133" s="574" t="s">
        <v>306</v>
      </c>
      <c r="B133" s="570">
        <f>'2022(пеня)'!AB300</f>
        <v>3995.1400000000003</v>
      </c>
      <c r="C133" s="569">
        <f>'2022(пеня)'!AE300</f>
        <v>47689.619999999995</v>
      </c>
      <c r="D133" s="552">
        <f>'2022(пеня)'!Z333</f>
        <v>126800.67</v>
      </c>
      <c r="E133" s="553">
        <f>'2022(пеня)'!Z364+'2022(пеня)'!AE396</f>
        <v>248746.28</v>
      </c>
      <c r="F133" s="575">
        <f t="shared" si="3"/>
        <v>427231.70999999996</v>
      </c>
      <c r="G133" s="835">
        <f>'2022(пеня)'!AB396</f>
        <v>5681.55</v>
      </c>
      <c r="H133" s="548"/>
      <c r="I133" s="1075"/>
      <c r="J133" s="1075"/>
      <c r="K133" s="11"/>
    </row>
    <row r="134" spans="1:11" ht="26.25">
      <c r="A134" s="574" t="s">
        <v>317</v>
      </c>
      <c r="B134" s="570">
        <f>'2022(пеня)'!AB301</f>
        <v>9142.5</v>
      </c>
      <c r="C134" s="569">
        <f>'2022(пеня)'!AE301</f>
        <v>1743.08</v>
      </c>
      <c r="D134" s="552">
        <f>'2022(пеня)'!Z334</f>
        <v>46980.08</v>
      </c>
      <c r="E134" s="553">
        <f>'2022(пеня)'!Z365+'2022(пеня)'!AE397</f>
        <v>295838.73</v>
      </c>
      <c r="F134" s="575">
        <f t="shared" si="3"/>
        <v>353704.39</v>
      </c>
      <c r="G134" s="835">
        <f>'2022(пеня)'!AB397</f>
        <v>21201.46</v>
      </c>
      <c r="H134" s="548"/>
      <c r="I134" s="1091"/>
      <c r="J134" s="1091"/>
      <c r="K134" s="11"/>
    </row>
    <row r="135" spans="1:7" ht="18.75">
      <c r="A135" s="1114" t="s">
        <v>88</v>
      </c>
      <c r="B135" s="1109">
        <f>SUM(B108:B134)</f>
        <v>94799.51000000001</v>
      </c>
      <c r="C135" s="1109">
        <f>SUM(C108:C134)</f>
        <v>838914.85</v>
      </c>
      <c r="D135" s="1110">
        <f>SUM(D108:D134)</f>
        <v>1054454.7600000002</v>
      </c>
      <c r="E135" s="1115">
        <f>SUM(E108:E131)</f>
        <v>1806635.4999999998</v>
      </c>
      <c r="F135" s="1108">
        <f>SUM(F108:F131)</f>
        <v>3511719.3</v>
      </c>
      <c r="G135" s="1109">
        <f>SUM(G108:G132)</f>
        <v>110346.30000000002</v>
      </c>
    </row>
  </sheetData>
  <sheetProtection/>
  <mergeCells count="85">
    <mergeCell ref="A1:G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J3"/>
    <mergeCell ref="I4:J4"/>
    <mergeCell ref="I5:J5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5:J25"/>
    <mergeCell ref="I26:J26"/>
    <mergeCell ref="A31:G31"/>
    <mergeCell ref="I31:J31"/>
    <mergeCell ref="A32:G32"/>
    <mergeCell ref="I32:J32"/>
    <mergeCell ref="A33:A34"/>
    <mergeCell ref="B33:B34"/>
    <mergeCell ref="C33:C34"/>
    <mergeCell ref="D33:D34"/>
    <mergeCell ref="E33:E34"/>
    <mergeCell ref="F33:F34"/>
    <mergeCell ref="G33:G34"/>
    <mergeCell ref="H33:H34"/>
    <mergeCell ref="I33:J34"/>
    <mergeCell ref="I35:J35"/>
    <mergeCell ref="I36:J36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6:J56"/>
    <mergeCell ref="I60:J60"/>
    <mergeCell ref="I61:J61"/>
    <mergeCell ref="G106:G107"/>
    <mergeCell ref="E69:L69"/>
    <mergeCell ref="A70:G70"/>
    <mergeCell ref="A71:A72"/>
    <mergeCell ref="B71:B72"/>
    <mergeCell ref="C71:C72"/>
    <mergeCell ref="D71:D72"/>
    <mergeCell ref="E71:E72"/>
    <mergeCell ref="F71:F72"/>
    <mergeCell ref="G71:G72"/>
    <mergeCell ref="I129:J129"/>
    <mergeCell ref="I94:J94"/>
    <mergeCell ref="E104:L104"/>
    <mergeCell ref="A105:G105"/>
    <mergeCell ref="A106:A107"/>
    <mergeCell ref="B106:B107"/>
    <mergeCell ref="C106:C107"/>
    <mergeCell ref="D106:D107"/>
    <mergeCell ref="E106:E107"/>
    <mergeCell ref="F106:F107"/>
  </mergeCells>
  <printOptions/>
  <pageMargins left="0.11811023622047245" right="0.11811023622047245" top="0" bottom="0" header="0" footer="0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01"/>
  <sheetViews>
    <sheetView zoomScale="68" zoomScaleNormal="68" zoomScalePageLayoutView="0" workbookViewId="0" topLeftCell="A1">
      <pane xSplit="1" topLeftCell="G1" activePane="topRight" state="frozen"/>
      <selection pane="topLeft" activeCell="A1" sqref="A1"/>
      <selection pane="topRight" activeCell="S398" sqref="S398"/>
    </sheetView>
  </sheetViews>
  <sheetFormatPr defaultColWidth="9.140625" defaultRowHeight="15"/>
  <cols>
    <col min="1" max="1" width="24.7109375" style="0" customWidth="1"/>
    <col min="2" max="2" width="20.8515625" style="0" customWidth="1"/>
    <col min="3" max="3" width="21.140625" style="0" customWidth="1"/>
    <col min="4" max="4" width="20.7109375" style="0" customWidth="1"/>
    <col min="5" max="5" width="16.57421875" style="0" customWidth="1"/>
    <col min="6" max="6" width="19.7109375" style="0" customWidth="1"/>
    <col min="7" max="7" width="17.8515625" style="0" customWidth="1"/>
    <col min="8" max="8" width="19.57421875" style="0" customWidth="1"/>
    <col min="9" max="9" width="15.57421875" style="0" customWidth="1"/>
    <col min="10" max="10" width="16.00390625" style="0" customWidth="1"/>
    <col min="11" max="11" width="15.7109375" style="0" customWidth="1"/>
    <col min="12" max="12" width="15.8515625" style="0" customWidth="1"/>
    <col min="13" max="13" width="14.421875" style="0" customWidth="1"/>
    <col min="14" max="14" width="16.8515625" style="0" customWidth="1"/>
    <col min="15" max="15" width="15.57421875" style="0" customWidth="1"/>
    <col min="16" max="16" width="20.57421875" style="0" customWidth="1"/>
    <col min="17" max="17" width="18.421875" style="0" customWidth="1"/>
    <col min="18" max="18" width="15.8515625" style="0" customWidth="1"/>
    <col min="19" max="19" width="16.140625" style="0" customWidth="1"/>
    <col min="20" max="20" width="17.28125" style="0" customWidth="1"/>
    <col min="21" max="21" width="18.8515625" style="0" customWidth="1"/>
    <col min="22" max="22" width="18.00390625" style="0" customWidth="1"/>
    <col min="23" max="23" width="19.28125" style="0" customWidth="1"/>
    <col min="24" max="24" width="27.28125" style="0" customWidth="1"/>
    <col min="25" max="25" width="19.28125" style="0" customWidth="1"/>
    <col min="26" max="26" width="26.140625" style="0" customWidth="1"/>
    <col min="27" max="28" width="25.140625" style="0" customWidth="1"/>
    <col min="29" max="29" width="25.7109375" style="0" customWidth="1"/>
    <col min="30" max="31" width="19.140625" style="0" customWidth="1"/>
    <col min="33" max="33" width="16.140625" style="0" customWidth="1"/>
    <col min="34" max="34" width="15.421875" style="0" customWidth="1"/>
  </cols>
  <sheetData>
    <row r="1" spans="1:29" ht="18.75">
      <c r="A1" s="68"/>
      <c r="B1" s="360" t="s">
        <v>258</v>
      </c>
      <c r="C1" s="361"/>
      <c r="D1" s="361"/>
      <c r="E1" s="361"/>
      <c r="F1" s="240"/>
      <c r="G1" s="240"/>
      <c r="H1" s="361"/>
      <c r="I1" s="240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9" ht="18.75">
      <c r="A2" s="68"/>
      <c r="B2" s="360" t="s">
        <v>0</v>
      </c>
      <c r="C2" s="360" t="s">
        <v>24</v>
      </c>
      <c r="D2" s="360"/>
      <c r="E2" s="360"/>
      <c r="F2" s="362"/>
      <c r="G2" s="362"/>
      <c r="H2" s="362"/>
      <c r="I2" s="240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1:29" ht="19.5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 t="s">
        <v>73</v>
      </c>
      <c r="W3" s="68"/>
      <c r="X3" s="68"/>
      <c r="Y3" s="68"/>
      <c r="Z3" s="68"/>
      <c r="AA3" s="68"/>
      <c r="AB3" s="68"/>
      <c r="AC3" s="68"/>
    </row>
    <row r="4" spans="1:29" ht="18.75">
      <c r="A4" s="1649" t="s">
        <v>1</v>
      </c>
      <c r="B4" s="1651" t="s">
        <v>261</v>
      </c>
      <c r="C4" s="1653" t="s">
        <v>2</v>
      </c>
      <c r="D4" s="1654"/>
      <c r="E4" s="1654"/>
      <c r="F4" s="1655"/>
      <c r="G4" s="147" t="s">
        <v>27</v>
      </c>
      <c r="H4" s="1656" t="s">
        <v>3</v>
      </c>
      <c r="I4" s="1657"/>
      <c r="J4" s="1658"/>
      <c r="K4" s="148" t="s">
        <v>27</v>
      </c>
      <c r="L4" s="1633" t="s">
        <v>4</v>
      </c>
      <c r="M4" s="1633"/>
      <c r="N4" s="1633"/>
      <c r="O4" s="149" t="s">
        <v>27</v>
      </c>
      <c r="P4" s="1634" t="s">
        <v>23</v>
      </c>
      <c r="Q4" s="1634"/>
      <c r="R4" s="1634"/>
      <c r="S4" s="1634"/>
      <c r="T4" s="184"/>
      <c r="U4" s="1631" t="s">
        <v>291</v>
      </c>
      <c r="V4" s="1631"/>
      <c r="W4" s="1632"/>
      <c r="X4" s="68"/>
      <c r="Y4" s="68"/>
      <c r="Z4" s="68"/>
      <c r="AA4" s="68"/>
      <c r="AB4" s="68"/>
      <c r="AC4" s="68"/>
    </row>
    <row r="5" spans="1:31" ht="72.75" thickBot="1">
      <c r="A5" s="1650"/>
      <c r="B5" s="1652"/>
      <c r="C5" s="150" t="s">
        <v>5</v>
      </c>
      <c r="D5" s="151" t="s">
        <v>6</v>
      </c>
      <c r="E5" s="151" t="s">
        <v>65</v>
      </c>
      <c r="F5" s="156" t="s">
        <v>262</v>
      </c>
      <c r="G5" s="124" t="s">
        <v>268</v>
      </c>
      <c r="H5" s="152" t="s">
        <v>5</v>
      </c>
      <c r="I5" s="152" t="s">
        <v>6</v>
      </c>
      <c r="J5" s="160" t="s">
        <v>184</v>
      </c>
      <c r="K5" s="371" t="s">
        <v>261</v>
      </c>
      <c r="L5" s="153" t="s">
        <v>5</v>
      </c>
      <c r="M5" s="153" t="s">
        <v>6</v>
      </c>
      <c r="N5" s="153" t="s">
        <v>267</v>
      </c>
      <c r="O5" s="154" t="s">
        <v>261</v>
      </c>
      <c r="P5" s="154" t="s">
        <v>5</v>
      </c>
      <c r="Q5" s="154" t="s">
        <v>64</v>
      </c>
      <c r="R5" s="154" t="s">
        <v>6</v>
      </c>
      <c r="S5" s="161" t="s">
        <v>269</v>
      </c>
      <c r="T5" s="185" t="s">
        <v>180</v>
      </c>
      <c r="U5" s="185" t="s">
        <v>77</v>
      </c>
      <c r="V5" s="185" t="s">
        <v>78</v>
      </c>
      <c r="W5" s="186" t="s">
        <v>269</v>
      </c>
      <c r="X5" s="68"/>
      <c r="Y5" s="68"/>
      <c r="Z5" s="68"/>
      <c r="AA5" s="671" t="s">
        <v>277</v>
      </c>
      <c r="AB5" s="672" t="s">
        <v>185</v>
      </c>
      <c r="AC5" s="671" t="s">
        <v>36</v>
      </c>
      <c r="AD5" s="41" t="s">
        <v>26</v>
      </c>
      <c r="AE5" s="41" t="s">
        <v>160</v>
      </c>
    </row>
    <row r="6" spans="1:31" ht="18.75">
      <c r="A6" s="117" t="s">
        <v>50</v>
      </c>
      <c r="B6" s="350">
        <v>116224.41999999995</v>
      </c>
      <c r="C6" s="354">
        <f aca="true" t="shared" si="0" ref="C6:C30">C38+C67+C96+C125+C154+C183+C213+C244+C275+C308+C339+C371</f>
        <v>159680.71000000002</v>
      </c>
      <c r="D6" s="358">
        <f aca="true" t="shared" si="1" ref="D6:D30">F38+D67+D96+D125+D154+D183+D213+D244+D275+D308+D339+D371</f>
        <v>168740.21999999997</v>
      </c>
      <c r="E6" s="145">
        <f aca="true" t="shared" si="2" ref="E6:E25">D38</f>
        <v>0</v>
      </c>
      <c r="F6" s="157">
        <f>B6+C6+-D6-E6</f>
        <v>107164.91000000003</v>
      </c>
      <c r="G6" s="350">
        <v>22511.74999999999</v>
      </c>
      <c r="H6" s="354">
        <f aca="true" t="shared" si="3" ref="H6:I21">I38+H67+H96+H125+H154+H183+H213+H244+H275+H308+H339+H371</f>
        <v>12266.85</v>
      </c>
      <c r="I6" s="358">
        <f t="shared" si="3"/>
        <v>1862.42</v>
      </c>
      <c r="J6" s="157">
        <f>G6+H6-I6</f>
        <v>32916.17999999999</v>
      </c>
      <c r="K6" s="351">
        <v>-5365.19</v>
      </c>
      <c r="L6" s="354">
        <f aca="true" t="shared" si="4" ref="L6:M25">M38+L67+L96+L125+L154+L183+L213+L244+L275+L308+L339+L371</f>
        <v>51261.60000000001</v>
      </c>
      <c r="M6" s="358">
        <f t="shared" si="4"/>
        <v>51261.600000000006</v>
      </c>
      <c r="N6" s="146">
        <f>K6+L6-M6</f>
        <v>-5365.189999999995</v>
      </c>
      <c r="O6" s="352">
        <v>-1524.96</v>
      </c>
      <c r="P6" s="354">
        <f aca="true" t="shared" si="5" ref="P6:P29">Q38+P67+P96+P125+P154+P183+P213+P244+P275+P308+P339+P371</f>
        <v>1374.94</v>
      </c>
      <c r="Q6" s="145">
        <f aca="true" t="shared" si="6" ref="Q6:Q31">R38</f>
        <v>0</v>
      </c>
      <c r="R6" s="358">
        <f aca="true" t="shared" si="7" ref="R6:R30">S38+R67+R96+R125+R154+R183+R213+R244+R275+R308+R339+R371</f>
        <v>1474.0200000000002</v>
      </c>
      <c r="S6" s="162">
        <f>O6+P6-R6</f>
        <v>-1624.0400000000002</v>
      </c>
      <c r="T6" s="353">
        <f>B6+G6+K6+O6</f>
        <v>131846.01999999996</v>
      </c>
      <c r="U6" s="187">
        <f>C6+H6+L6+P6</f>
        <v>224584.10000000003</v>
      </c>
      <c r="V6" s="187">
        <f>D6+I6+M6+R6</f>
        <v>223338.25999999998</v>
      </c>
      <c r="W6" s="187">
        <f>T6+U6-V6</f>
        <v>133091.86000000002</v>
      </c>
      <c r="X6" s="68"/>
      <c r="Y6" s="68"/>
      <c r="Z6" s="68"/>
      <c r="AA6" s="313">
        <v>13086.35</v>
      </c>
      <c r="AB6" s="117" t="s">
        <v>50</v>
      </c>
      <c r="AC6" s="444">
        <v>19059.08</v>
      </c>
      <c r="AD6" s="382">
        <v>16635.66</v>
      </c>
      <c r="AE6" s="382">
        <v>12363.859999999999</v>
      </c>
    </row>
    <row r="7" spans="1:31" ht="18.75">
      <c r="A7" s="73" t="s">
        <v>53</v>
      </c>
      <c r="B7" s="350">
        <v>142647.6500000002</v>
      </c>
      <c r="C7" s="354">
        <f t="shared" si="0"/>
        <v>357133.93000000005</v>
      </c>
      <c r="D7" s="358">
        <f t="shared" si="1"/>
        <v>388420.37000000005</v>
      </c>
      <c r="E7" s="82">
        <f t="shared" si="2"/>
        <v>0</v>
      </c>
      <c r="F7" s="157">
        <f>B7+C7+-D7-E7</f>
        <v>111361.2100000002</v>
      </c>
      <c r="G7" s="350">
        <v>98.13999999999976</v>
      </c>
      <c r="H7" s="354">
        <f t="shared" si="3"/>
        <v>3359.2000000000003</v>
      </c>
      <c r="I7" s="358">
        <f t="shared" si="3"/>
        <v>379.18</v>
      </c>
      <c r="J7" s="158">
        <f aca="true" t="shared" si="8" ref="J7:J32">G7+H7-I7</f>
        <v>3078.1600000000003</v>
      </c>
      <c r="K7" s="351">
        <v>-3623.3999999999996</v>
      </c>
      <c r="L7" s="354">
        <f t="shared" si="4"/>
        <v>1449.36</v>
      </c>
      <c r="M7" s="358">
        <f t="shared" si="4"/>
        <v>1449.36</v>
      </c>
      <c r="N7" s="146">
        <v>0</v>
      </c>
      <c r="O7" s="352">
        <v>184.64</v>
      </c>
      <c r="P7" s="354">
        <f t="shared" si="5"/>
        <v>2075.0699999999997</v>
      </c>
      <c r="Q7" s="145">
        <f t="shared" si="6"/>
        <v>0</v>
      </c>
      <c r="R7" s="358">
        <f t="shared" si="7"/>
        <v>3345.51</v>
      </c>
      <c r="S7" s="162">
        <f aca="true" t="shared" si="9" ref="S7:S27">O7+P7-R7</f>
        <v>-1085.8000000000006</v>
      </c>
      <c r="T7" s="353">
        <f aca="true" t="shared" si="10" ref="T7:T32">B7+G7+K7+O7</f>
        <v>139307.03000000023</v>
      </c>
      <c r="U7" s="187">
        <f aca="true" t="shared" si="11" ref="U7:U32">C7+H7+L7+P7</f>
        <v>364017.56000000006</v>
      </c>
      <c r="V7" s="187">
        <f aca="true" t="shared" si="12" ref="V7:V32">D7+I7+M7+R7</f>
        <v>393594.42000000004</v>
      </c>
      <c r="W7" s="187">
        <f aca="true" t="shared" si="13" ref="W7:W32">T7+U7-V7</f>
        <v>109730.17000000027</v>
      </c>
      <c r="X7" s="68"/>
      <c r="Y7" s="68"/>
      <c r="Z7" s="68"/>
      <c r="AA7" s="313">
        <v>29755.06</v>
      </c>
      <c r="AB7" s="73" t="s">
        <v>53</v>
      </c>
      <c r="AC7" s="444">
        <v>30174</v>
      </c>
      <c r="AD7" s="382">
        <v>30402.22</v>
      </c>
      <c r="AE7" s="382">
        <v>30039.88</v>
      </c>
    </row>
    <row r="8" spans="1:31" ht="18.75">
      <c r="A8" s="73" t="s">
        <v>8</v>
      </c>
      <c r="B8" s="350">
        <v>74445.62</v>
      </c>
      <c r="C8" s="354">
        <f t="shared" si="0"/>
        <v>0</v>
      </c>
      <c r="D8" s="358">
        <f t="shared" si="1"/>
        <v>0</v>
      </c>
      <c r="E8" s="82">
        <f t="shared" si="2"/>
        <v>0</v>
      </c>
      <c r="F8" s="157">
        <v>0</v>
      </c>
      <c r="G8" s="350">
        <v>0</v>
      </c>
      <c r="H8" s="354">
        <f t="shared" si="3"/>
        <v>0</v>
      </c>
      <c r="I8" s="358">
        <f t="shared" si="3"/>
        <v>0</v>
      </c>
      <c r="J8" s="158">
        <f t="shared" si="8"/>
        <v>0</v>
      </c>
      <c r="K8" s="351">
        <v>0</v>
      </c>
      <c r="L8" s="354">
        <f t="shared" si="4"/>
        <v>0</v>
      </c>
      <c r="M8" s="358">
        <f t="shared" si="4"/>
        <v>0</v>
      </c>
      <c r="N8" s="146">
        <f aca="true" t="shared" si="14" ref="N8:N26">K8+L8-M8</f>
        <v>0</v>
      </c>
      <c r="O8" s="352">
        <v>0</v>
      </c>
      <c r="P8" s="354">
        <f t="shared" si="5"/>
        <v>0</v>
      </c>
      <c r="Q8" s="145">
        <f t="shared" si="6"/>
        <v>0</v>
      </c>
      <c r="R8" s="358">
        <f t="shared" si="7"/>
        <v>0</v>
      </c>
      <c r="S8" s="162">
        <f t="shared" si="9"/>
        <v>0</v>
      </c>
      <c r="T8" s="353">
        <f t="shared" si="10"/>
        <v>74445.62</v>
      </c>
      <c r="U8" s="187">
        <f t="shared" si="11"/>
        <v>0</v>
      </c>
      <c r="V8" s="187">
        <f t="shared" si="12"/>
        <v>0</v>
      </c>
      <c r="W8" s="187">
        <f t="shared" si="13"/>
        <v>74445.62</v>
      </c>
      <c r="X8" s="68"/>
      <c r="Y8" s="68"/>
      <c r="Z8" s="68"/>
      <c r="AA8" s="314"/>
      <c r="AB8" s="73" t="s">
        <v>8</v>
      </c>
      <c r="AC8" s="382">
        <v>0</v>
      </c>
      <c r="AD8" s="382">
        <v>0</v>
      </c>
      <c r="AE8" s="382">
        <v>0</v>
      </c>
    </row>
    <row r="9" spans="1:31" ht="18.75">
      <c r="A9" s="73" t="s">
        <v>48</v>
      </c>
      <c r="B9" s="350">
        <v>326685.5800000002</v>
      </c>
      <c r="C9" s="354">
        <f t="shared" si="0"/>
        <v>867327.41</v>
      </c>
      <c r="D9" s="358">
        <f t="shared" si="1"/>
        <v>845901.25</v>
      </c>
      <c r="E9" s="82">
        <f t="shared" si="2"/>
        <v>0</v>
      </c>
      <c r="F9" s="157">
        <f>B9+C9-D9+E9</f>
        <v>348111.7400000002</v>
      </c>
      <c r="G9" s="350">
        <v>23517.68999999999</v>
      </c>
      <c r="H9" s="354">
        <f t="shared" si="3"/>
        <v>16143.270000000004</v>
      </c>
      <c r="I9" s="358">
        <f t="shared" si="3"/>
        <v>2105.69</v>
      </c>
      <c r="J9" s="158">
        <f t="shared" si="8"/>
        <v>37555.26999999999</v>
      </c>
      <c r="K9" s="351">
        <v>-1895.8799999999992</v>
      </c>
      <c r="L9" s="354">
        <f t="shared" si="4"/>
        <v>22749.72</v>
      </c>
      <c r="M9" s="358">
        <f t="shared" si="4"/>
        <v>25306.02</v>
      </c>
      <c r="N9" s="146">
        <f t="shared" si="14"/>
        <v>-4452.179999999997</v>
      </c>
      <c r="O9" s="352">
        <v>-2435.6799999999994</v>
      </c>
      <c r="P9" s="354">
        <f t="shared" si="5"/>
        <v>3615.8200000000006</v>
      </c>
      <c r="Q9" s="145">
        <f t="shared" si="6"/>
        <v>0</v>
      </c>
      <c r="R9" s="358">
        <f t="shared" si="7"/>
        <v>4473.46</v>
      </c>
      <c r="S9" s="162">
        <f t="shared" si="9"/>
        <v>-3293.319999999999</v>
      </c>
      <c r="T9" s="353">
        <f t="shared" si="10"/>
        <v>345871.7100000002</v>
      </c>
      <c r="U9" s="187">
        <f t="shared" si="11"/>
        <v>909836.22</v>
      </c>
      <c r="V9" s="187">
        <f t="shared" si="12"/>
        <v>877786.4199999999</v>
      </c>
      <c r="W9" s="187">
        <f t="shared" si="13"/>
        <v>377921.51000000024</v>
      </c>
      <c r="X9" s="68"/>
      <c r="Y9" s="68"/>
      <c r="Z9" s="68"/>
      <c r="AA9" s="314">
        <v>72293.24</v>
      </c>
      <c r="AB9" s="73" t="s">
        <v>48</v>
      </c>
      <c r="AC9" s="444">
        <v>75454.52</v>
      </c>
      <c r="AD9" s="382">
        <v>82613.59999999999</v>
      </c>
      <c r="AE9" s="382">
        <v>77485.84999999999</v>
      </c>
    </row>
    <row r="10" spans="1:31" ht="18.75">
      <c r="A10" s="73" t="s">
        <v>9</v>
      </c>
      <c r="B10" s="350">
        <v>124496.9200000001</v>
      </c>
      <c r="C10" s="354">
        <f t="shared" si="0"/>
        <v>214881.83000000002</v>
      </c>
      <c r="D10" s="358">
        <f t="shared" si="1"/>
        <v>219859.43000000002</v>
      </c>
      <c r="E10" s="82">
        <f t="shared" si="2"/>
        <v>0</v>
      </c>
      <c r="F10" s="157">
        <f aca="true" t="shared" si="15" ref="F10:F30">B10+C10+-D10-E10</f>
        <v>119519.3200000001</v>
      </c>
      <c r="G10" s="350">
        <v>27699.92</v>
      </c>
      <c r="H10" s="354">
        <f t="shared" si="3"/>
        <v>20395.990000000005</v>
      </c>
      <c r="I10" s="358">
        <f t="shared" si="3"/>
        <v>2197.91</v>
      </c>
      <c r="J10" s="158">
        <f t="shared" si="8"/>
        <v>45898</v>
      </c>
      <c r="K10" s="351">
        <v>0</v>
      </c>
      <c r="L10" s="354">
        <f t="shared" si="4"/>
        <v>0</v>
      </c>
      <c r="M10" s="358">
        <f t="shared" si="4"/>
        <v>0</v>
      </c>
      <c r="N10" s="146">
        <f t="shared" si="14"/>
        <v>0</v>
      </c>
      <c r="O10" s="352">
        <v>111.83999999999989</v>
      </c>
      <c r="P10" s="354">
        <f t="shared" si="5"/>
        <v>1487.6799999999998</v>
      </c>
      <c r="Q10" s="145">
        <f t="shared" si="6"/>
        <v>0</v>
      </c>
      <c r="R10" s="358">
        <f t="shared" si="7"/>
        <v>2326.29</v>
      </c>
      <c r="S10" s="162">
        <f t="shared" si="9"/>
        <v>-726.7700000000002</v>
      </c>
      <c r="T10" s="353">
        <f t="shared" si="10"/>
        <v>152308.68000000008</v>
      </c>
      <c r="U10" s="187">
        <f t="shared" si="11"/>
        <v>236765.5</v>
      </c>
      <c r="V10" s="187">
        <f t="shared" si="12"/>
        <v>224383.63000000003</v>
      </c>
      <c r="W10" s="187">
        <f t="shared" si="13"/>
        <v>164690.55000000002</v>
      </c>
      <c r="X10" s="68"/>
      <c r="Y10" s="68"/>
      <c r="Z10" s="68"/>
      <c r="AA10" s="314">
        <v>17520.04</v>
      </c>
      <c r="AB10" s="73" t="s">
        <v>9</v>
      </c>
      <c r="AC10" s="444">
        <v>19676.95</v>
      </c>
      <c r="AD10" s="382">
        <v>20201.87</v>
      </c>
      <c r="AE10" s="382">
        <v>20201.87</v>
      </c>
    </row>
    <row r="11" spans="1:31" ht="18.75">
      <c r="A11" s="73" t="s">
        <v>10</v>
      </c>
      <c r="B11" s="350">
        <v>11856.730000000083</v>
      </c>
      <c r="C11" s="354">
        <f t="shared" si="0"/>
        <v>93549.24000000003</v>
      </c>
      <c r="D11" s="358">
        <f t="shared" si="1"/>
        <v>97746.62</v>
      </c>
      <c r="E11" s="82">
        <f t="shared" si="2"/>
        <v>0</v>
      </c>
      <c r="F11" s="157">
        <f t="shared" si="15"/>
        <v>7659.350000000122</v>
      </c>
      <c r="G11" s="350">
        <v>0</v>
      </c>
      <c r="H11" s="354">
        <f t="shared" si="3"/>
        <v>0</v>
      </c>
      <c r="I11" s="358">
        <f t="shared" si="3"/>
        <v>0</v>
      </c>
      <c r="J11" s="158">
        <f t="shared" si="8"/>
        <v>0</v>
      </c>
      <c r="K11" s="351">
        <v>0</v>
      </c>
      <c r="L11" s="354">
        <f t="shared" si="4"/>
        <v>0</v>
      </c>
      <c r="M11" s="358">
        <f t="shared" si="4"/>
        <v>0</v>
      </c>
      <c r="N11" s="146">
        <f t="shared" si="14"/>
        <v>0</v>
      </c>
      <c r="O11" s="352">
        <v>0.779999999999994</v>
      </c>
      <c r="P11" s="354">
        <f t="shared" si="5"/>
        <v>341.61999999999995</v>
      </c>
      <c r="Q11" s="145">
        <f t="shared" si="6"/>
        <v>0</v>
      </c>
      <c r="R11" s="358">
        <f t="shared" si="7"/>
        <v>327</v>
      </c>
      <c r="S11" s="162">
        <f t="shared" si="9"/>
        <v>15.39999999999992</v>
      </c>
      <c r="T11" s="353">
        <f t="shared" si="10"/>
        <v>11857.510000000084</v>
      </c>
      <c r="U11" s="187">
        <f t="shared" si="11"/>
        <v>93890.86000000003</v>
      </c>
      <c r="V11" s="187">
        <f t="shared" si="12"/>
        <v>98073.62</v>
      </c>
      <c r="W11" s="187">
        <f t="shared" si="13"/>
        <v>7674.750000000116</v>
      </c>
      <c r="X11" s="68"/>
      <c r="Y11" s="68"/>
      <c r="Z11" s="68"/>
      <c r="AA11" s="314">
        <v>7795.77</v>
      </c>
      <c r="AB11" s="73" t="s">
        <v>10</v>
      </c>
      <c r="AC11" s="444">
        <v>7819.790000000001</v>
      </c>
      <c r="AD11" s="382">
        <v>8162.110000000001</v>
      </c>
      <c r="AE11" s="382">
        <v>8162.110000000001</v>
      </c>
    </row>
    <row r="12" spans="1:31" ht="18.75">
      <c r="A12" s="73" t="s">
        <v>11</v>
      </c>
      <c r="B12" s="350">
        <v>6912.560000000041</v>
      </c>
      <c r="C12" s="354">
        <f t="shared" si="0"/>
        <v>93218.52000000002</v>
      </c>
      <c r="D12" s="358">
        <f t="shared" si="1"/>
        <v>93024.37</v>
      </c>
      <c r="E12" s="82">
        <f t="shared" si="2"/>
        <v>0</v>
      </c>
      <c r="F12" s="157">
        <f t="shared" si="15"/>
        <v>7106.710000000065</v>
      </c>
      <c r="G12" s="350">
        <v>0</v>
      </c>
      <c r="H12" s="354">
        <f t="shared" si="3"/>
        <v>0</v>
      </c>
      <c r="I12" s="358">
        <f t="shared" si="3"/>
        <v>0</v>
      </c>
      <c r="J12" s="158">
        <f t="shared" si="8"/>
        <v>0</v>
      </c>
      <c r="K12" s="351">
        <v>0</v>
      </c>
      <c r="L12" s="354">
        <f t="shared" si="4"/>
        <v>0</v>
      </c>
      <c r="M12" s="358">
        <f t="shared" si="4"/>
        <v>0</v>
      </c>
      <c r="N12" s="146">
        <f t="shared" si="14"/>
        <v>0</v>
      </c>
      <c r="O12" s="352">
        <v>89.53</v>
      </c>
      <c r="P12" s="354">
        <f t="shared" si="5"/>
        <v>90.52000000000001</v>
      </c>
      <c r="Q12" s="145">
        <f t="shared" si="6"/>
        <v>0</v>
      </c>
      <c r="R12" s="358">
        <f t="shared" si="7"/>
        <v>178.58999999999997</v>
      </c>
      <c r="S12" s="162">
        <f t="shared" si="9"/>
        <v>1.4600000000000364</v>
      </c>
      <c r="T12" s="353">
        <f t="shared" si="10"/>
        <v>7002.090000000041</v>
      </c>
      <c r="U12" s="187">
        <f t="shared" si="11"/>
        <v>93309.04000000002</v>
      </c>
      <c r="V12" s="187">
        <f t="shared" si="12"/>
        <v>93202.95999999999</v>
      </c>
      <c r="W12" s="187">
        <f t="shared" si="13"/>
        <v>7108.170000000071</v>
      </c>
      <c r="X12" s="68"/>
      <c r="Y12" s="68"/>
      <c r="Z12" s="68"/>
      <c r="AA12" s="314">
        <v>7768.21</v>
      </c>
      <c r="AB12" s="73" t="s">
        <v>11</v>
      </c>
      <c r="AC12" s="444">
        <v>7838.51</v>
      </c>
      <c r="AD12" s="382">
        <v>11524.85</v>
      </c>
      <c r="AE12" s="382">
        <v>11524.85</v>
      </c>
    </row>
    <row r="13" spans="1:31" ht="18.75">
      <c r="A13" s="73" t="s">
        <v>12</v>
      </c>
      <c r="B13" s="350">
        <v>79360.58000000019</v>
      </c>
      <c r="C13" s="354">
        <f t="shared" si="0"/>
        <v>533573.4600000001</v>
      </c>
      <c r="D13" s="358">
        <f t="shared" si="1"/>
        <v>537034.9500000001</v>
      </c>
      <c r="E13" s="82">
        <f t="shared" si="2"/>
        <v>0</v>
      </c>
      <c r="F13" s="157">
        <f t="shared" si="15"/>
        <v>75899.0900000002</v>
      </c>
      <c r="G13" s="350">
        <v>6724.639999999996</v>
      </c>
      <c r="H13" s="354">
        <f t="shared" si="3"/>
        <v>6724.6399999999985</v>
      </c>
      <c r="I13" s="358">
        <f t="shared" si="3"/>
        <v>517.28</v>
      </c>
      <c r="J13" s="158">
        <f t="shared" si="8"/>
        <v>12931.999999999995</v>
      </c>
      <c r="K13" s="351">
        <v>1508.3999999999987</v>
      </c>
      <c r="L13" s="354">
        <f t="shared" si="4"/>
        <v>18316.8</v>
      </c>
      <c r="M13" s="358">
        <f t="shared" si="4"/>
        <v>18316.8</v>
      </c>
      <c r="N13" s="146">
        <f t="shared" si="14"/>
        <v>1508.3999999999978</v>
      </c>
      <c r="O13" s="352">
        <v>373.47</v>
      </c>
      <c r="P13" s="354">
        <f t="shared" si="5"/>
        <v>1592.5599999999997</v>
      </c>
      <c r="Q13" s="145">
        <f t="shared" si="6"/>
        <v>0</v>
      </c>
      <c r="R13" s="358">
        <f t="shared" si="7"/>
        <v>1601.76</v>
      </c>
      <c r="S13" s="162">
        <f t="shared" si="9"/>
        <v>364.26999999999975</v>
      </c>
      <c r="T13" s="353">
        <f t="shared" si="10"/>
        <v>87967.09000000019</v>
      </c>
      <c r="U13" s="187">
        <f t="shared" si="11"/>
        <v>560207.4600000002</v>
      </c>
      <c r="V13" s="187">
        <f t="shared" si="12"/>
        <v>557470.7900000002</v>
      </c>
      <c r="W13" s="187">
        <f t="shared" si="13"/>
        <v>90703.76000000024</v>
      </c>
      <c r="X13" s="68"/>
      <c r="Y13" s="68"/>
      <c r="Z13" s="68"/>
      <c r="AA13" s="314">
        <v>44459.32</v>
      </c>
      <c r="AB13" s="73" t="s">
        <v>12</v>
      </c>
      <c r="AC13" s="444">
        <v>46749.46</v>
      </c>
      <c r="AD13" s="382">
        <v>54181.170000000006</v>
      </c>
      <c r="AE13" s="382">
        <v>52654.770000000004</v>
      </c>
    </row>
    <row r="14" spans="1:31" ht="18.75">
      <c r="A14" s="73" t="s">
        <v>13</v>
      </c>
      <c r="B14" s="350">
        <v>43424.890000000014</v>
      </c>
      <c r="C14" s="354">
        <f t="shared" si="0"/>
        <v>315277.9199999999</v>
      </c>
      <c r="D14" s="358">
        <f t="shared" si="1"/>
        <v>304837.61999999994</v>
      </c>
      <c r="E14" s="82">
        <f t="shared" si="2"/>
        <v>0</v>
      </c>
      <c r="F14" s="157">
        <f t="shared" si="15"/>
        <v>53865.19</v>
      </c>
      <c r="G14" s="350">
        <v>2441.179999999999</v>
      </c>
      <c r="H14" s="354">
        <f t="shared" si="3"/>
        <v>2266.8099999999995</v>
      </c>
      <c r="I14" s="358">
        <f t="shared" si="3"/>
        <v>174.37</v>
      </c>
      <c r="J14" s="158">
        <f t="shared" si="8"/>
        <v>4533.619999999998</v>
      </c>
      <c r="K14" s="351">
        <v>-2290.02</v>
      </c>
      <c r="L14" s="354">
        <f t="shared" si="4"/>
        <v>7740.120000000002</v>
      </c>
      <c r="M14" s="358">
        <f t="shared" si="4"/>
        <v>7740.12</v>
      </c>
      <c r="N14" s="146">
        <f t="shared" si="14"/>
        <v>-2290.0199999999977</v>
      </c>
      <c r="O14" s="352">
        <v>75.28000000000013</v>
      </c>
      <c r="P14" s="354">
        <f t="shared" si="5"/>
        <v>891.28</v>
      </c>
      <c r="Q14" s="145">
        <f t="shared" si="6"/>
        <v>0</v>
      </c>
      <c r="R14" s="358">
        <f t="shared" si="7"/>
        <v>766.5699999999999</v>
      </c>
      <c r="S14" s="162">
        <f t="shared" si="9"/>
        <v>199.99000000000012</v>
      </c>
      <c r="T14" s="353">
        <f t="shared" si="10"/>
        <v>43651.330000000016</v>
      </c>
      <c r="U14" s="187">
        <f t="shared" si="11"/>
        <v>326176.12999999995</v>
      </c>
      <c r="V14" s="187">
        <f t="shared" si="12"/>
        <v>313518.67999999993</v>
      </c>
      <c r="W14" s="187">
        <f t="shared" si="13"/>
        <v>56308.78000000003</v>
      </c>
      <c r="X14" s="68"/>
      <c r="Y14" s="68"/>
      <c r="Z14" s="68"/>
      <c r="AA14" s="314">
        <v>26273.16</v>
      </c>
      <c r="AB14" s="73" t="s">
        <v>13</v>
      </c>
      <c r="AC14" s="444">
        <v>27139.269999999997</v>
      </c>
      <c r="AD14" s="382">
        <v>27571.399999999998</v>
      </c>
      <c r="AE14" s="382">
        <v>26926.39</v>
      </c>
    </row>
    <row r="15" spans="1:31" ht="18.75">
      <c r="A15" s="73" t="s">
        <v>14</v>
      </c>
      <c r="B15" s="350">
        <v>52517.01000000007</v>
      </c>
      <c r="C15" s="354">
        <f t="shared" si="0"/>
        <v>388983.9800000001</v>
      </c>
      <c r="D15" s="358">
        <f t="shared" si="1"/>
        <v>384149.31</v>
      </c>
      <c r="E15" s="82">
        <f t="shared" si="2"/>
        <v>0</v>
      </c>
      <c r="F15" s="157">
        <f t="shared" si="15"/>
        <v>57351.68000000017</v>
      </c>
      <c r="G15" s="350">
        <v>3945.3199999999997</v>
      </c>
      <c r="H15" s="354">
        <f t="shared" si="3"/>
        <v>1475.52</v>
      </c>
      <c r="I15" s="358">
        <f t="shared" si="3"/>
        <v>493.96</v>
      </c>
      <c r="J15" s="158">
        <f t="shared" si="8"/>
        <v>4926.88</v>
      </c>
      <c r="K15" s="351">
        <v>3558.7799999999993</v>
      </c>
      <c r="L15" s="354">
        <f t="shared" si="4"/>
        <v>29643.960000000003</v>
      </c>
      <c r="M15" s="358">
        <f t="shared" si="4"/>
        <v>28815.049999999996</v>
      </c>
      <c r="N15" s="146">
        <f t="shared" si="14"/>
        <v>4387.69000000001</v>
      </c>
      <c r="O15" s="352">
        <v>-423.08000000000004</v>
      </c>
      <c r="P15" s="354">
        <f t="shared" si="5"/>
        <v>394.03000000000003</v>
      </c>
      <c r="Q15" s="145">
        <f t="shared" si="6"/>
        <v>0</v>
      </c>
      <c r="R15" s="358">
        <f t="shared" si="7"/>
        <v>197.90999999999997</v>
      </c>
      <c r="S15" s="162">
        <f t="shared" si="9"/>
        <v>-226.95999999999998</v>
      </c>
      <c r="T15" s="353">
        <f t="shared" si="10"/>
        <v>59598.030000000064</v>
      </c>
      <c r="U15" s="187">
        <f t="shared" si="11"/>
        <v>420497.49000000017</v>
      </c>
      <c r="V15" s="187">
        <f t="shared" si="12"/>
        <v>413656.23</v>
      </c>
      <c r="W15" s="187">
        <f t="shared" si="13"/>
        <v>66439.29000000027</v>
      </c>
      <c r="X15" s="68"/>
      <c r="Y15" s="68"/>
      <c r="Z15" s="68"/>
      <c r="AA15" s="314">
        <v>32415.33</v>
      </c>
      <c r="AB15" s="73" t="s">
        <v>14</v>
      </c>
      <c r="AC15" s="444">
        <v>35199.530000000006</v>
      </c>
      <c r="AD15" s="382">
        <v>42150.82</v>
      </c>
      <c r="AE15" s="382">
        <v>38383.05</v>
      </c>
    </row>
    <row r="16" spans="1:31" ht="18.75">
      <c r="A16" s="73" t="s">
        <v>55</v>
      </c>
      <c r="B16" s="350">
        <v>41009.080000000016</v>
      </c>
      <c r="C16" s="354">
        <f t="shared" si="0"/>
        <v>176829.61000000002</v>
      </c>
      <c r="D16" s="358">
        <f t="shared" si="1"/>
        <v>177166.09999999998</v>
      </c>
      <c r="E16" s="82">
        <f t="shared" si="2"/>
        <v>0</v>
      </c>
      <c r="F16" s="157">
        <f t="shared" si="15"/>
        <v>40672.590000000055</v>
      </c>
      <c r="G16" s="350">
        <v>2411.5</v>
      </c>
      <c r="H16" s="354">
        <f t="shared" si="3"/>
        <v>2411.5</v>
      </c>
      <c r="I16" s="358">
        <f t="shared" si="3"/>
        <v>185.5</v>
      </c>
      <c r="J16" s="158">
        <f t="shared" si="8"/>
        <v>4637.5</v>
      </c>
      <c r="K16" s="351">
        <v>1488.8900000000021</v>
      </c>
      <c r="L16" s="354">
        <f t="shared" si="4"/>
        <v>4783.780000000001</v>
      </c>
      <c r="M16" s="358">
        <f t="shared" si="4"/>
        <v>4098.49</v>
      </c>
      <c r="N16" s="146">
        <f t="shared" si="14"/>
        <v>2174.180000000003</v>
      </c>
      <c r="O16" s="352">
        <v>-84.25999999999999</v>
      </c>
      <c r="P16" s="354">
        <f t="shared" si="5"/>
        <v>332.40000000000003</v>
      </c>
      <c r="Q16" s="145">
        <f t="shared" si="6"/>
        <v>0</v>
      </c>
      <c r="R16" s="358">
        <f t="shared" si="7"/>
        <v>1034.75</v>
      </c>
      <c r="S16" s="162">
        <f t="shared" si="9"/>
        <v>-786.6099999999999</v>
      </c>
      <c r="T16" s="353">
        <f t="shared" si="10"/>
        <v>44825.210000000014</v>
      </c>
      <c r="U16" s="187">
        <f t="shared" si="11"/>
        <v>184357.29</v>
      </c>
      <c r="V16" s="187">
        <f t="shared" si="12"/>
        <v>182484.83999999997</v>
      </c>
      <c r="W16" s="187">
        <f t="shared" si="13"/>
        <v>46697.66000000006</v>
      </c>
      <c r="X16" s="68"/>
      <c r="Y16" s="68"/>
      <c r="Z16" s="68"/>
      <c r="AA16" s="314">
        <v>14758.92</v>
      </c>
      <c r="AB16" s="73" t="s">
        <v>55</v>
      </c>
      <c r="AC16" s="444">
        <v>15351.7</v>
      </c>
      <c r="AD16" s="382">
        <v>18059.03</v>
      </c>
      <c r="AE16" s="382">
        <v>16941.26</v>
      </c>
    </row>
    <row r="17" spans="1:31" ht="18.75">
      <c r="A17" s="73" t="s">
        <v>15</v>
      </c>
      <c r="B17" s="350">
        <v>95343.31000000035</v>
      </c>
      <c r="C17" s="354">
        <f t="shared" si="0"/>
        <v>416460.2199999999</v>
      </c>
      <c r="D17" s="358">
        <f t="shared" si="1"/>
        <v>404679.94</v>
      </c>
      <c r="E17" s="82">
        <f t="shared" si="2"/>
        <v>0</v>
      </c>
      <c r="F17" s="157">
        <f t="shared" si="15"/>
        <v>107123.59000000026</v>
      </c>
      <c r="G17" s="350">
        <v>0</v>
      </c>
      <c r="H17" s="354">
        <f t="shared" si="3"/>
        <v>0</v>
      </c>
      <c r="I17" s="358">
        <f aca="true" t="shared" si="16" ref="I17:I30">J49+I78+I107+I136+I165+I194+I224+I255+I286+I319+I350+I382</f>
        <v>0</v>
      </c>
      <c r="J17" s="158">
        <f t="shared" si="8"/>
        <v>0</v>
      </c>
      <c r="K17" s="351">
        <v>-2497.36</v>
      </c>
      <c r="L17" s="354">
        <f t="shared" si="4"/>
        <v>12271.09</v>
      </c>
      <c r="M17" s="358">
        <f t="shared" si="4"/>
        <v>10668.130000000001</v>
      </c>
      <c r="N17" s="146">
        <f t="shared" si="14"/>
        <v>-894.4000000000015</v>
      </c>
      <c r="O17" s="352">
        <v>445.75999999999976</v>
      </c>
      <c r="P17" s="354">
        <f t="shared" si="5"/>
        <v>1320.8700000000001</v>
      </c>
      <c r="Q17" s="145">
        <f t="shared" si="6"/>
        <v>0</v>
      </c>
      <c r="R17" s="358">
        <f t="shared" si="7"/>
        <v>1262.67</v>
      </c>
      <c r="S17" s="162">
        <f t="shared" si="9"/>
        <v>503.9599999999998</v>
      </c>
      <c r="T17" s="353">
        <f t="shared" si="10"/>
        <v>93291.71000000034</v>
      </c>
      <c r="U17" s="187">
        <f t="shared" si="11"/>
        <v>430052.17999999993</v>
      </c>
      <c r="V17" s="187">
        <f t="shared" si="12"/>
        <v>416610.74</v>
      </c>
      <c r="W17" s="187">
        <f t="shared" si="13"/>
        <v>106733.15000000026</v>
      </c>
      <c r="X17" s="68"/>
      <c r="Y17" s="68"/>
      <c r="Z17" s="68"/>
      <c r="AA17" s="314">
        <v>34700.16</v>
      </c>
      <c r="AB17" s="73" t="s">
        <v>15</v>
      </c>
      <c r="AC17" s="444">
        <v>35195.020000000004</v>
      </c>
      <c r="AD17" s="382">
        <v>39705.02</v>
      </c>
      <c r="AE17" s="382">
        <v>38641.31</v>
      </c>
    </row>
    <row r="18" spans="1:31" ht="18.75">
      <c r="A18" s="73" t="s">
        <v>16</v>
      </c>
      <c r="B18" s="350">
        <v>35056.15000000008</v>
      </c>
      <c r="C18" s="354">
        <f t="shared" si="0"/>
        <v>338930.76</v>
      </c>
      <c r="D18" s="358">
        <f t="shared" si="1"/>
        <v>344887.46</v>
      </c>
      <c r="E18" s="82">
        <f t="shared" si="2"/>
        <v>0</v>
      </c>
      <c r="F18" s="157">
        <f t="shared" si="15"/>
        <v>29099.45000000007</v>
      </c>
      <c r="G18" s="350">
        <v>0</v>
      </c>
      <c r="H18" s="354">
        <f t="shared" si="3"/>
        <v>0</v>
      </c>
      <c r="I18" s="358">
        <f t="shared" si="16"/>
        <v>0</v>
      </c>
      <c r="J18" s="158">
        <f t="shared" si="8"/>
        <v>0</v>
      </c>
      <c r="K18" s="351">
        <v>1163.880000000002</v>
      </c>
      <c r="L18" s="354">
        <f t="shared" si="4"/>
        <v>3491.6400000000012</v>
      </c>
      <c r="M18" s="358">
        <f t="shared" si="4"/>
        <v>3491.59</v>
      </c>
      <c r="N18" s="146">
        <f t="shared" si="14"/>
        <v>1163.930000000003</v>
      </c>
      <c r="O18" s="352">
        <v>81.15999999999998</v>
      </c>
      <c r="P18" s="354">
        <f t="shared" si="5"/>
        <v>429</v>
      </c>
      <c r="Q18" s="145">
        <f t="shared" si="6"/>
        <v>0</v>
      </c>
      <c r="R18" s="358">
        <f t="shared" si="7"/>
        <v>431.40999999999997</v>
      </c>
      <c r="S18" s="162">
        <f t="shared" si="9"/>
        <v>78.75</v>
      </c>
      <c r="T18" s="353">
        <f t="shared" si="10"/>
        <v>36301.19000000009</v>
      </c>
      <c r="U18" s="187">
        <f t="shared" si="11"/>
        <v>342851.4</v>
      </c>
      <c r="V18" s="187">
        <f t="shared" si="12"/>
        <v>348810.46</v>
      </c>
      <c r="W18" s="187">
        <f t="shared" si="13"/>
        <v>30342.130000000063</v>
      </c>
      <c r="X18" s="68"/>
      <c r="Y18" s="68"/>
      <c r="Z18" s="68"/>
      <c r="AA18" s="314">
        <v>28244.23</v>
      </c>
      <c r="AB18" s="73" t="s">
        <v>16</v>
      </c>
      <c r="AC18" s="444">
        <v>28554.74</v>
      </c>
      <c r="AD18" s="382">
        <v>33752.49</v>
      </c>
      <c r="AE18" s="382">
        <v>32879.579999999994</v>
      </c>
    </row>
    <row r="19" spans="1:31" ht="18.75">
      <c r="A19" s="73" t="s">
        <v>17</v>
      </c>
      <c r="B19" s="350">
        <v>57959.660000000265</v>
      </c>
      <c r="C19" s="354">
        <f t="shared" si="0"/>
        <v>441281.7500000001</v>
      </c>
      <c r="D19" s="358">
        <f t="shared" si="1"/>
        <v>446729.0599999999</v>
      </c>
      <c r="E19" s="82">
        <f t="shared" si="2"/>
        <v>0</v>
      </c>
      <c r="F19" s="157">
        <f t="shared" si="15"/>
        <v>52512.3500000005</v>
      </c>
      <c r="G19" s="350">
        <v>4788.550000000001</v>
      </c>
      <c r="H19" s="354">
        <f t="shared" si="3"/>
        <v>4788.55</v>
      </c>
      <c r="I19" s="358">
        <f t="shared" si="16"/>
        <v>368.35</v>
      </c>
      <c r="J19" s="158">
        <f t="shared" si="8"/>
        <v>9208.750000000002</v>
      </c>
      <c r="K19" s="351">
        <v>619.5699999999998</v>
      </c>
      <c r="L19" s="354">
        <f t="shared" si="4"/>
        <v>7434.839999999999</v>
      </c>
      <c r="M19" s="358">
        <f t="shared" si="4"/>
        <v>7434.84</v>
      </c>
      <c r="N19" s="146">
        <f t="shared" si="14"/>
        <v>619.5699999999988</v>
      </c>
      <c r="O19" s="352">
        <v>35.12000000000003</v>
      </c>
      <c r="P19" s="354">
        <f t="shared" si="5"/>
        <v>801.0699999999998</v>
      </c>
      <c r="Q19" s="145">
        <f t="shared" si="6"/>
        <v>0</v>
      </c>
      <c r="R19" s="358">
        <f t="shared" si="7"/>
        <v>663.1100000000001</v>
      </c>
      <c r="S19" s="162">
        <f t="shared" si="9"/>
        <v>173.0799999999997</v>
      </c>
      <c r="T19" s="353">
        <f t="shared" si="10"/>
        <v>63402.90000000027</v>
      </c>
      <c r="U19" s="187">
        <f t="shared" si="11"/>
        <v>454306.21000000014</v>
      </c>
      <c r="V19" s="187">
        <f t="shared" si="12"/>
        <v>455195.35999999987</v>
      </c>
      <c r="W19" s="187">
        <f t="shared" si="13"/>
        <v>62513.750000000524</v>
      </c>
      <c r="X19" s="68"/>
      <c r="Y19" s="68"/>
      <c r="Z19" s="68"/>
      <c r="AA19" s="314">
        <v>36774.58</v>
      </c>
      <c r="AB19" s="73" t="s">
        <v>17</v>
      </c>
      <c r="AC19" s="444">
        <v>37800.24</v>
      </c>
      <c r="AD19" s="382">
        <v>36611.74999999999</v>
      </c>
      <c r="AE19" s="382">
        <v>35992.17999999999</v>
      </c>
    </row>
    <row r="20" spans="1:31" ht="18.75">
      <c r="A20" s="73" t="s">
        <v>18</v>
      </c>
      <c r="B20" s="350">
        <v>143533.18000000005</v>
      </c>
      <c r="C20" s="354">
        <f t="shared" si="0"/>
        <v>941610.0699999998</v>
      </c>
      <c r="D20" s="358">
        <f t="shared" si="1"/>
        <v>927341.4400000001</v>
      </c>
      <c r="E20" s="82">
        <f t="shared" si="2"/>
        <v>0</v>
      </c>
      <c r="F20" s="157">
        <f t="shared" si="15"/>
        <v>157801.80999999994</v>
      </c>
      <c r="G20" s="350">
        <v>840.0499999999986</v>
      </c>
      <c r="H20" s="354">
        <f t="shared" si="3"/>
        <v>0</v>
      </c>
      <c r="I20" s="358">
        <f t="shared" si="16"/>
        <v>347.68</v>
      </c>
      <c r="J20" s="158">
        <f t="shared" si="8"/>
        <v>492.3699999999986</v>
      </c>
      <c r="K20" s="351">
        <v>-686.3500000000004</v>
      </c>
      <c r="L20" s="354">
        <f t="shared" si="4"/>
        <v>26412.019999999993</v>
      </c>
      <c r="M20" s="358">
        <f t="shared" si="4"/>
        <v>27942.13</v>
      </c>
      <c r="N20" s="146">
        <f t="shared" si="14"/>
        <v>-2216.46000000001</v>
      </c>
      <c r="O20" s="352">
        <v>410.4100000000002</v>
      </c>
      <c r="P20" s="354">
        <f t="shared" si="5"/>
        <v>1265.83</v>
      </c>
      <c r="Q20" s="145">
        <f t="shared" si="6"/>
        <v>0</v>
      </c>
      <c r="R20" s="358">
        <f t="shared" si="7"/>
        <v>1307.6000000000001</v>
      </c>
      <c r="S20" s="162">
        <f t="shared" si="9"/>
        <v>368.6400000000001</v>
      </c>
      <c r="T20" s="353">
        <f t="shared" si="10"/>
        <v>144097.29000000004</v>
      </c>
      <c r="U20" s="187">
        <f t="shared" si="11"/>
        <v>969287.9199999998</v>
      </c>
      <c r="V20" s="187">
        <f t="shared" si="12"/>
        <v>956938.8500000001</v>
      </c>
      <c r="W20" s="187">
        <f t="shared" si="13"/>
        <v>156446.35999999987</v>
      </c>
      <c r="X20" s="68"/>
      <c r="Y20" s="68"/>
      <c r="Z20" s="68"/>
      <c r="AA20" s="314">
        <v>78553.42</v>
      </c>
      <c r="AB20" s="73" t="s">
        <v>18</v>
      </c>
      <c r="AC20" s="444">
        <v>81299.23000000001</v>
      </c>
      <c r="AD20" s="382">
        <v>95306.67</v>
      </c>
      <c r="AE20" s="382">
        <v>90190.05</v>
      </c>
    </row>
    <row r="21" spans="1:31" ht="18.75">
      <c r="A21" s="73" t="s">
        <v>54</v>
      </c>
      <c r="B21" s="350">
        <v>65501.5100000003</v>
      </c>
      <c r="C21" s="354">
        <f t="shared" si="0"/>
        <v>403386.0300000001</v>
      </c>
      <c r="D21" s="358">
        <f t="shared" si="1"/>
        <v>419124.94000000006</v>
      </c>
      <c r="E21" s="82">
        <f t="shared" si="2"/>
        <v>0</v>
      </c>
      <c r="F21" s="157">
        <f t="shared" si="15"/>
        <v>49762.600000000326</v>
      </c>
      <c r="G21" s="350">
        <v>4305.600000000003</v>
      </c>
      <c r="H21" s="354">
        <f t="shared" si="3"/>
        <v>3403.6600000000008</v>
      </c>
      <c r="I21" s="358">
        <f t="shared" si="16"/>
        <v>442.02</v>
      </c>
      <c r="J21" s="158">
        <f t="shared" si="8"/>
        <v>7267.240000000003</v>
      </c>
      <c r="K21" s="351">
        <v>0</v>
      </c>
      <c r="L21" s="354">
        <f t="shared" si="4"/>
        <v>0</v>
      </c>
      <c r="M21" s="358">
        <f t="shared" si="4"/>
        <v>0</v>
      </c>
      <c r="N21" s="146">
        <f t="shared" si="14"/>
        <v>0</v>
      </c>
      <c r="O21" s="352">
        <v>-1073.9</v>
      </c>
      <c r="P21" s="354">
        <f t="shared" si="5"/>
        <v>1171.89</v>
      </c>
      <c r="Q21" s="145">
        <f t="shared" si="6"/>
        <v>0</v>
      </c>
      <c r="R21" s="358">
        <f t="shared" si="7"/>
        <v>1839.54</v>
      </c>
      <c r="S21" s="162">
        <f t="shared" si="9"/>
        <v>-1741.55</v>
      </c>
      <c r="T21" s="353">
        <f t="shared" si="10"/>
        <v>68733.21000000031</v>
      </c>
      <c r="U21" s="187">
        <f t="shared" si="11"/>
        <v>407961.5800000001</v>
      </c>
      <c r="V21" s="187">
        <f t="shared" si="12"/>
        <v>421406.50000000006</v>
      </c>
      <c r="W21" s="187">
        <f t="shared" si="13"/>
        <v>55288.29000000033</v>
      </c>
      <c r="X21" s="68"/>
      <c r="Y21" s="68"/>
      <c r="Z21" s="68"/>
      <c r="AA21" s="314">
        <v>33615.42</v>
      </c>
      <c r="AB21" s="73" t="s">
        <v>54</v>
      </c>
      <c r="AC21" s="444">
        <v>34233.81</v>
      </c>
      <c r="AD21" s="382">
        <v>39597.17</v>
      </c>
      <c r="AE21" s="382">
        <v>39597.17</v>
      </c>
    </row>
    <row r="22" spans="1:31" ht="18.75">
      <c r="A22" s="73" t="s">
        <v>49</v>
      </c>
      <c r="B22" s="350">
        <v>174609.3500000002</v>
      </c>
      <c r="C22" s="354">
        <f t="shared" si="0"/>
        <v>857906.89</v>
      </c>
      <c r="D22" s="358">
        <f t="shared" si="1"/>
        <v>844884.4700000001</v>
      </c>
      <c r="E22" s="82">
        <f t="shared" si="2"/>
        <v>0</v>
      </c>
      <c r="F22" s="157">
        <v>183840.97</v>
      </c>
      <c r="G22" s="350">
        <v>10624.380000000001</v>
      </c>
      <c r="H22" s="354">
        <f aca="true" t="shared" si="17" ref="H22:H29">I54+H83+H112+H141+H170+H199+H229+H260+H291+H324+H355+H387</f>
        <v>10624.380000000001</v>
      </c>
      <c r="I22" s="358">
        <f t="shared" si="16"/>
        <v>817.26</v>
      </c>
      <c r="J22" s="158">
        <f t="shared" si="8"/>
        <v>20431.500000000004</v>
      </c>
      <c r="K22" s="351">
        <v>2721.660000000003</v>
      </c>
      <c r="L22" s="354">
        <f t="shared" si="4"/>
        <v>39150.04</v>
      </c>
      <c r="M22" s="358">
        <f t="shared" si="4"/>
        <v>38672.87</v>
      </c>
      <c r="N22" s="146">
        <f t="shared" si="14"/>
        <v>3198.8300000000017</v>
      </c>
      <c r="O22" s="352">
        <v>-831.8000000000001</v>
      </c>
      <c r="P22" s="354">
        <f t="shared" si="5"/>
        <v>1754.5300000000002</v>
      </c>
      <c r="Q22" s="145">
        <f t="shared" si="6"/>
        <v>0</v>
      </c>
      <c r="R22" s="358">
        <f t="shared" si="7"/>
        <v>1737.3799999999999</v>
      </c>
      <c r="S22" s="162">
        <f t="shared" si="9"/>
        <v>-814.6499999999997</v>
      </c>
      <c r="T22" s="353">
        <f t="shared" si="10"/>
        <v>187123.59000000023</v>
      </c>
      <c r="U22" s="187">
        <f t="shared" si="11"/>
        <v>909435.8400000001</v>
      </c>
      <c r="V22" s="187">
        <f t="shared" si="12"/>
        <v>886111.9800000001</v>
      </c>
      <c r="W22" s="187">
        <f t="shared" si="13"/>
        <v>210447.4500000003</v>
      </c>
      <c r="X22" s="68"/>
      <c r="Y22" s="68"/>
      <c r="Z22" s="68"/>
      <c r="AA22" s="314">
        <v>71493.3</v>
      </c>
      <c r="AB22" s="73" t="s">
        <v>49</v>
      </c>
      <c r="AC22" s="444">
        <v>75404.91</v>
      </c>
      <c r="AD22" s="444">
        <v>80316.77</v>
      </c>
      <c r="AE22" s="382">
        <v>77471.2</v>
      </c>
    </row>
    <row r="23" spans="1:31" ht="18.75">
      <c r="A23" s="73" t="s">
        <v>19</v>
      </c>
      <c r="B23" s="350">
        <v>83668.37</v>
      </c>
      <c r="C23" s="354">
        <f t="shared" si="0"/>
        <v>633029.8899999999</v>
      </c>
      <c r="D23" s="358">
        <f t="shared" si="1"/>
        <v>635156.96</v>
      </c>
      <c r="E23" s="82">
        <f t="shared" si="2"/>
        <v>0</v>
      </c>
      <c r="F23" s="157">
        <f t="shared" si="15"/>
        <v>81541.29999999993</v>
      </c>
      <c r="G23" s="350">
        <v>5042.539999999998</v>
      </c>
      <c r="H23" s="354">
        <f t="shared" si="17"/>
        <v>4636.969999999999</v>
      </c>
      <c r="I23" s="358">
        <f t="shared" si="16"/>
        <v>356.69</v>
      </c>
      <c r="J23" s="158">
        <f t="shared" si="8"/>
        <v>9322.819999999998</v>
      </c>
      <c r="K23" s="351">
        <v>727.1800000000007</v>
      </c>
      <c r="L23" s="354">
        <f t="shared" si="4"/>
        <v>12243.629999999996</v>
      </c>
      <c r="M23" s="358">
        <f t="shared" si="4"/>
        <v>12504.58</v>
      </c>
      <c r="N23" s="146">
        <f t="shared" si="14"/>
        <v>466.2299999999959</v>
      </c>
      <c r="O23" s="352">
        <v>305.0200000000003</v>
      </c>
      <c r="P23" s="354">
        <f t="shared" si="5"/>
        <v>3470.71</v>
      </c>
      <c r="Q23" s="145">
        <f t="shared" si="6"/>
        <v>0</v>
      </c>
      <c r="R23" s="358">
        <f t="shared" si="7"/>
        <v>2434.31</v>
      </c>
      <c r="S23" s="162">
        <f t="shared" si="9"/>
        <v>1341.4200000000005</v>
      </c>
      <c r="T23" s="353">
        <f t="shared" si="10"/>
        <v>89743.11</v>
      </c>
      <c r="U23" s="187">
        <f t="shared" si="11"/>
        <v>653381.1999999998</v>
      </c>
      <c r="V23" s="187">
        <f t="shared" si="12"/>
        <v>650452.5399999999</v>
      </c>
      <c r="W23" s="187">
        <f t="shared" si="13"/>
        <v>92671.7699999999</v>
      </c>
      <c r="X23" s="68"/>
      <c r="Y23" s="68"/>
      <c r="Z23" s="68"/>
      <c r="AA23" s="314">
        <v>52752.49</v>
      </c>
      <c r="AB23" s="73" t="s">
        <v>19</v>
      </c>
      <c r="AC23" s="444">
        <v>54582.74</v>
      </c>
      <c r="AD23" s="382">
        <v>60905.34</v>
      </c>
      <c r="AE23" s="382">
        <v>58329.009999999995</v>
      </c>
    </row>
    <row r="24" spans="1:31" ht="18.75">
      <c r="A24" s="80" t="s">
        <v>20</v>
      </c>
      <c r="B24" s="350">
        <v>53126.62000000005</v>
      </c>
      <c r="C24" s="354">
        <f t="shared" si="0"/>
        <v>411288.5999999999</v>
      </c>
      <c r="D24" s="358">
        <f t="shared" si="1"/>
        <v>399768.92000000004</v>
      </c>
      <c r="E24" s="83">
        <f t="shared" si="2"/>
        <v>0</v>
      </c>
      <c r="F24" s="238">
        <f t="shared" si="15"/>
        <v>64646.29999999993</v>
      </c>
      <c r="G24" s="350">
        <v>0</v>
      </c>
      <c r="H24" s="354">
        <f t="shared" si="17"/>
        <v>0</v>
      </c>
      <c r="I24" s="359">
        <f t="shared" si="16"/>
        <v>0</v>
      </c>
      <c r="J24" s="159">
        <f t="shared" si="8"/>
        <v>0</v>
      </c>
      <c r="K24" s="351">
        <v>3766.87</v>
      </c>
      <c r="L24" s="354">
        <f t="shared" si="4"/>
        <v>8268</v>
      </c>
      <c r="M24" s="358">
        <f t="shared" si="4"/>
        <v>7983.3</v>
      </c>
      <c r="N24" s="89">
        <f t="shared" si="14"/>
        <v>4051.569999999999</v>
      </c>
      <c r="O24" s="352">
        <v>105.80999999999995</v>
      </c>
      <c r="P24" s="354">
        <f t="shared" si="5"/>
        <v>283.94000000000005</v>
      </c>
      <c r="Q24" s="145">
        <f t="shared" si="6"/>
        <v>0</v>
      </c>
      <c r="R24" s="358">
        <f t="shared" si="7"/>
        <v>251.5</v>
      </c>
      <c r="S24" s="162">
        <f t="shared" si="9"/>
        <v>138.25</v>
      </c>
      <c r="T24" s="353">
        <f t="shared" si="10"/>
        <v>56999.300000000054</v>
      </c>
      <c r="U24" s="187">
        <f t="shared" si="11"/>
        <v>419840.5399999999</v>
      </c>
      <c r="V24" s="187">
        <f t="shared" si="12"/>
        <v>408003.72000000003</v>
      </c>
      <c r="W24" s="187">
        <f t="shared" si="13"/>
        <v>68836.11999999994</v>
      </c>
      <c r="X24" s="68"/>
      <c r="Y24" s="68"/>
      <c r="Z24" s="68"/>
      <c r="AA24" s="314">
        <v>34274.05</v>
      </c>
      <c r="AB24" s="80" t="s">
        <v>20</v>
      </c>
      <c r="AC24" s="444">
        <v>35003.87</v>
      </c>
      <c r="AD24" s="382">
        <v>40050.42</v>
      </c>
      <c r="AE24" s="382">
        <v>39361.42</v>
      </c>
    </row>
    <row r="25" spans="1:31" ht="22.5" customHeight="1">
      <c r="A25" s="73" t="s">
        <v>114</v>
      </c>
      <c r="B25" s="350">
        <v>-435740.67000000045</v>
      </c>
      <c r="C25" s="354">
        <f t="shared" si="0"/>
        <v>501981.99</v>
      </c>
      <c r="D25" s="358">
        <f t="shared" si="1"/>
        <v>517159.60000000003</v>
      </c>
      <c r="E25" s="83">
        <f t="shared" si="2"/>
        <v>0</v>
      </c>
      <c r="F25" s="158">
        <f t="shared" si="15"/>
        <v>-450918.2800000005</v>
      </c>
      <c r="G25" s="350">
        <v>0</v>
      </c>
      <c r="H25" s="354">
        <f t="shared" si="17"/>
        <v>3493.23</v>
      </c>
      <c r="I25" s="359">
        <f t="shared" si="16"/>
        <v>268.71</v>
      </c>
      <c r="J25" s="159">
        <f t="shared" si="8"/>
        <v>3224.52</v>
      </c>
      <c r="K25" s="351">
        <v>0</v>
      </c>
      <c r="L25" s="354">
        <f t="shared" si="4"/>
        <v>17057.719999999994</v>
      </c>
      <c r="M25" s="358">
        <f t="shared" si="4"/>
        <v>17057.22</v>
      </c>
      <c r="N25" s="89">
        <f t="shared" si="14"/>
        <v>0.49999999999272404</v>
      </c>
      <c r="O25" s="352">
        <v>-3.280000000000001</v>
      </c>
      <c r="P25" s="354">
        <f t="shared" si="5"/>
        <v>977.04</v>
      </c>
      <c r="Q25" s="145">
        <f t="shared" si="6"/>
        <v>0</v>
      </c>
      <c r="R25" s="358">
        <f t="shared" si="7"/>
        <v>5692.340000000001</v>
      </c>
      <c r="S25" s="162">
        <f t="shared" si="9"/>
        <v>-4718.580000000001</v>
      </c>
      <c r="T25" s="353">
        <f t="shared" si="10"/>
        <v>-435743.9500000005</v>
      </c>
      <c r="U25" s="187">
        <f t="shared" si="11"/>
        <v>523509.9799999999</v>
      </c>
      <c r="V25" s="187">
        <f t="shared" si="12"/>
        <v>540177.87</v>
      </c>
      <c r="W25" s="187">
        <f t="shared" si="13"/>
        <v>-452411.84000000055</v>
      </c>
      <c r="X25" s="68"/>
      <c r="Y25" s="68"/>
      <c r="Z25" s="68"/>
      <c r="AA25" s="314">
        <v>41829.72</v>
      </c>
      <c r="AB25" s="73" t="s">
        <v>114</v>
      </c>
      <c r="AC25" s="444">
        <v>43700.52</v>
      </c>
      <c r="AD25" s="444">
        <v>52748.43000000001</v>
      </c>
      <c r="AE25" s="382">
        <v>50626.840000000004</v>
      </c>
    </row>
    <row r="26" spans="1:31" ht="18.75">
      <c r="A26" s="73" t="s">
        <v>115</v>
      </c>
      <c r="B26" s="350">
        <v>109405.45000000007</v>
      </c>
      <c r="C26" s="354">
        <f t="shared" si="0"/>
        <v>178836.84000000005</v>
      </c>
      <c r="D26" s="358">
        <f t="shared" si="1"/>
        <v>168593.33000000002</v>
      </c>
      <c r="E26" s="83">
        <f aca="true" t="shared" si="18" ref="E26:E32">D58</f>
        <v>0</v>
      </c>
      <c r="F26" s="158">
        <f t="shared" si="15"/>
        <v>119648.96000000014</v>
      </c>
      <c r="G26" s="350">
        <v>0</v>
      </c>
      <c r="H26" s="354">
        <f t="shared" si="17"/>
        <v>0</v>
      </c>
      <c r="I26" s="359">
        <f t="shared" si="16"/>
        <v>0</v>
      </c>
      <c r="J26" s="159">
        <f t="shared" si="8"/>
        <v>0</v>
      </c>
      <c r="K26" s="351">
        <v>0</v>
      </c>
      <c r="L26" s="354">
        <f aca="true" t="shared" si="19" ref="L26:M30">M58+L87+L116+L145+L174+L203+L233+L264+L295+L328+L359+L391</f>
        <v>0</v>
      </c>
      <c r="M26" s="358">
        <f t="shared" si="19"/>
        <v>0</v>
      </c>
      <c r="N26" s="89">
        <f t="shared" si="14"/>
        <v>0</v>
      </c>
      <c r="O26" s="352">
        <v>-0.5599999999999996</v>
      </c>
      <c r="P26" s="354">
        <f t="shared" si="5"/>
        <v>330.65000000000003</v>
      </c>
      <c r="Q26" s="145">
        <f t="shared" si="6"/>
        <v>0</v>
      </c>
      <c r="R26" s="358">
        <f t="shared" si="7"/>
        <v>296.08</v>
      </c>
      <c r="S26" s="162">
        <f t="shared" si="9"/>
        <v>34.01000000000005</v>
      </c>
      <c r="T26" s="353">
        <f t="shared" si="10"/>
        <v>109404.89000000007</v>
      </c>
      <c r="U26" s="187">
        <f t="shared" si="11"/>
        <v>179167.49000000005</v>
      </c>
      <c r="V26" s="187">
        <f t="shared" si="12"/>
        <v>168889.41</v>
      </c>
      <c r="W26" s="187">
        <f t="shared" si="13"/>
        <v>119682.97000000012</v>
      </c>
      <c r="AA26" s="314">
        <v>14903.07</v>
      </c>
      <c r="AB26" s="73" t="s">
        <v>115</v>
      </c>
      <c r="AC26" s="444">
        <v>14911.039999999999</v>
      </c>
      <c r="AD26" s="382">
        <v>15202.35</v>
      </c>
      <c r="AE26" s="382">
        <v>15202.35</v>
      </c>
    </row>
    <row r="27" spans="1:31" ht="18.75">
      <c r="A27" s="73" t="s">
        <v>188</v>
      </c>
      <c r="B27" s="949">
        <v>72619.40999999995</v>
      </c>
      <c r="C27" s="354">
        <f t="shared" si="0"/>
        <v>474615</v>
      </c>
      <c r="D27" s="358">
        <f t="shared" si="1"/>
        <v>535020.4299999999</v>
      </c>
      <c r="E27" s="83">
        <f t="shared" si="18"/>
        <v>0</v>
      </c>
      <c r="F27" s="158">
        <f t="shared" si="15"/>
        <v>12213.979999999981</v>
      </c>
      <c r="G27" s="350">
        <v>2373.87</v>
      </c>
      <c r="H27" s="354">
        <f t="shared" si="17"/>
        <v>4402.71</v>
      </c>
      <c r="I27" s="359">
        <f t="shared" si="16"/>
        <v>0</v>
      </c>
      <c r="J27" s="159">
        <f t="shared" si="8"/>
        <v>6776.58</v>
      </c>
      <c r="K27" s="351">
        <v>5009.190000000002</v>
      </c>
      <c r="L27" s="354">
        <f t="shared" si="19"/>
        <v>17540.879999999997</v>
      </c>
      <c r="M27" s="358">
        <f t="shared" si="19"/>
        <v>54078.63</v>
      </c>
      <c r="N27" s="89">
        <f aca="true" t="shared" si="20" ref="N27:N32">K27+L27-M27</f>
        <v>-31528.559999999998</v>
      </c>
      <c r="O27" s="352">
        <v>-4838.96</v>
      </c>
      <c r="P27" s="354">
        <f t="shared" si="5"/>
        <v>2846.31</v>
      </c>
      <c r="Q27" s="145">
        <f t="shared" si="6"/>
        <v>0</v>
      </c>
      <c r="R27" s="358">
        <f t="shared" si="7"/>
        <v>14543.49</v>
      </c>
      <c r="S27" s="162">
        <f t="shared" si="9"/>
        <v>-16536.14</v>
      </c>
      <c r="T27" s="353">
        <f t="shared" si="10"/>
        <v>75163.50999999994</v>
      </c>
      <c r="U27" s="187">
        <f t="shared" si="11"/>
        <v>499404.9</v>
      </c>
      <c r="V27" s="187">
        <f t="shared" si="12"/>
        <v>603642.5499999999</v>
      </c>
      <c r="W27" s="187">
        <f t="shared" si="13"/>
        <v>-29074.140000000014</v>
      </c>
      <c r="AA27" s="819">
        <v>39551.25</v>
      </c>
      <c r="AB27" s="73" t="s">
        <v>188</v>
      </c>
      <c r="AC27" s="444">
        <v>41973.64</v>
      </c>
      <c r="AD27" s="382">
        <v>80297.18000000001</v>
      </c>
      <c r="AE27" s="382">
        <v>79426.92000000001</v>
      </c>
    </row>
    <row r="28" spans="1:31" ht="18.75">
      <c r="A28" s="73" t="s">
        <v>189</v>
      </c>
      <c r="B28" s="949">
        <v>215104.45999999996</v>
      </c>
      <c r="C28" s="354">
        <f t="shared" si="0"/>
        <v>547859.9400000001</v>
      </c>
      <c r="D28" s="358">
        <f t="shared" si="1"/>
        <v>681090.8099999999</v>
      </c>
      <c r="E28" s="83">
        <f t="shared" si="18"/>
        <v>0</v>
      </c>
      <c r="F28" s="158">
        <f t="shared" si="15"/>
        <v>81873.59000000008</v>
      </c>
      <c r="G28" s="350">
        <v>6231.74</v>
      </c>
      <c r="H28" s="354">
        <f>I60+H89+H118+H147+H176+H205+H235+H266+H297+H330+H361+H393</f>
        <v>27557.88000000001</v>
      </c>
      <c r="I28" s="359">
        <f t="shared" si="16"/>
        <v>0</v>
      </c>
      <c r="J28" s="159">
        <f t="shared" si="8"/>
        <v>33789.62000000001</v>
      </c>
      <c r="K28" s="351">
        <v>-16528.399999999998</v>
      </c>
      <c r="L28" s="354">
        <f t="shared" si="19"/>
        <v>16796.760000000002</v>
      </c>
      <c r="M28" s="358">
        <f t="shared" si="19"/>
        <v>14426.060000000001</v>
      </c>
      <c r="N28" s="89">
        <f t="shared" si="20"/>
        <v>-14157.699999999997</v>
      </c>
      <c r="O28" s="352">
        <v>-45080.85</v>
      </c>
      <c r="P28" s="354">
        <f t="shared" si="5"/>
        <v>5037.21</v>
      </c>
      <c r="Q28" s="145">
        <f t="shared" si="6"/>
        <v>0</v>
      </c>
      <c r="R28" s="358">
        <f t="shared" si="7"/>
        <v>30674.02</v>
      </c>
      <c r="S28" s="488">
        <f>O28+P28-R28</f>
        <v>-70717.66</v>
      </c>
      <c r="T28" s="353">
        <f t="shared" si="10"/>
        <v>159726.94999999995</v>
      </c>
      <c r="U28" s="187">
        <f t="shared" si="11"/>
        <v>597251.79</v>
      </c>
      <c r="V28" s="187">
        <f t="shared" si="12"/>
        <v>726190.89</v>
      </c>
      <c r="W28" s="187">
        <f t="shared" si="13"/>
        <v>30787.849999999977</v>
      </c>
      <c r="AA28" s="819">
        <v>45631.94</v>
      </c>
      <c r="AB28" s="73" t="s">
        <v>189</v>
      </c>
      <c r="AC28" s="444">
        <v>51770.8</v>
      </c>
      <c r="AD28" s="382">
        <v>103273.35999999999</v>
      </c>
      <c r="AE28" s="382">
        <v>100476.54999999999</v>
      </c>
    </row>
    <row r="29" spans="1:31" ht="18.75">
      <c r="A29" s="73" t="s">
        <v>218</v>
      </c>
      <c r="B29" s="949">
        <v>171031.19</v>
      </c>
      <c r="C29" s="354">
        <f t="shared" si="0"/>
        <v>507909.6099999999</v>
      </c>
      <c r="D29" s="358">
        <f t="shared" si="1"/>
        <v>574455.66</v>
      </c>
      <c r="E29" s="83">
        <f t="shared" si="18"/>
        <v>0</v>
      </c>
      <c r="F29" s="158">
        <f t="shared" si="15"/>
        <v>104485.1399999999</v>
      </c>
      <c r="G29" s="350">
        <v>0</v>
      </c>
      <c r="H29" s="354">
        <f t="shared" si="17"/>
        <v>0</v>
      </c>
      <c r="I29" s="359">
        <f t="shared" si="16"/>
        <v>0</v>
      </c>
      <c r="J29" s="159">
        <f t="shared" si="8"/>
        <v>0</v>
      </c>
      <c r="K29" s="351">
        <v>-62945.81</v>
      </c>
      <c r="L29" s="354">
        <f t="shared" si="19"/>
        <v>7708.319999999999</v>
      </c>
      <c r="M29" s="358">
        <f t="shared" si="19"/>
        <v>7708.32</v>
      </c>
      <c r="N29" s="89">
        <f t="shared" si="20"/>
        <v>-62945.81</v>
      </c>
      <c r="O29" s="352">
        <v>-58549.320000000014</v>
      </c>
      <c r="P29" s="354">
        <f t="shared" si="5"/>
        <v>2648.96</v>
      </c>
      <c r="Q29" s="145">
        <f t="shared" si="6"/>
        <v>0</v>
      </c>
      <c r="R29" s="358">
        <f t="shared" si="7"/>
        <v>21467.350000000002</v>
      </c>
      <c r="S29" s="488">
        <f>O29+P29-R29</f>
        <v>-77367.71000000002</v>
      </c>
      <c r="T29" s="353">
        <f t="shared" si="10"/>
        <v>49536.05999999999</v>
      </c>
      <c r="U29" s="187">
        <f t="shared" si="11"/>
        <v>518266.88999999996</v>
      </c>
      <c r="V29" s="187">
        <f t="shared" si="12"/>
        <v>603631.33</v>
      </c>
      <c r="W29" s="187">
        <f t="shared" si="13"/>
        <v>-35828.380000000005</v>
      </c>
      <c r="AA29" s="819">
        <v>42321.25</v>
      </c>
      <c r="AB29" s="73" t="s">
        <v>218</v>
      </c>
      <c r="AC29" s="444">
        <v>42325.63</v>
      </c>
      <c r="AD29" s="382">
        <v>85761.20999999999</v>
      </c>
      <c r="AE29" s="382">
        <v>85761.20999999999</v>
      </c>
    </row>
    <row r="30" spans="1:31" ht="18.75">
      <c r="A30" s="73" t="s">
        <v>238</v>
      </c>
      <c r="B30" s="949">
        <v>12797.24</v>
      </c>
      <c r="C30" s="354">
        <f t="shared" si="0"/>
        <v>306815.6900000002</v>
      </c>
      <c r="D30" s="358">
        <f t="shared" si="1"/>
        <v>256724.43000000002</v>
      </c>
      <c r="E30" s="83">
        <f t="shared" si="18"/>
        <v>0</v>
      </c>
      <c r="F30" s="158">
        <f t="shared" si="15"/>
        <v>62888.500000000146</v>
      </c>
      <c r="G30" s="350">
        <v>0</v>
      </c>
      <c r="H30" s="355">
        <f>I62+H91+H120+H151+H180+H207+H238+H268+H299+H332+H363+H395</f>
        <v>0</v>
      </c>
      <c r="I30" s="359">
        <f t="shared" si="16"/>
        <v>0</v>
      </c>
      <c r="J30" s="159">
        <f t="shared" si="8"/>
        <v>0</v>
      </c>
      <c r="K30" s="351">
        <v>0</v>
      </c>
      <c r="L30" s="354">
        <f>M62+L91+L120+L149+L178+L207+L237+L268+L299+L332+L363+L395</f>
        <v>0</v>
      </c>
      <c r="M30" s="358">
        <f t="shared" si="19"/>
        <v>0</v>
      </c>
      <c r="N30" s="89">
        <f t="shared" si="20"/>
        <v>0</v>
      </c>
      <c r="O30" s="352">
        <v>0</v>
      </c>
      <c r="P30" s="354">
        <f>Q62+P91+P120+P149+P178+P207+P237+P268+P299+P332+P363+P395</f>
        <v>23721.500000000007</v>
      </c>
      <c r="Q30" s="145">
        <f t="shared" si="6"/>
        <v>0</v>
      </c>
      <c r="R30" s="358">
        <f t="shared" si="7"/>
        <v>19826.559999999998</v>
      </c>
      <c r="S30" s="488">
        <f>O30+P30-R30</f>
        <v>3894.9400000000096</v>
      </c>
      <c r="T30" s="353">
        <f t="shared" si="10"/>
        <v>12797.24</v>
      </c>
      <c r="U30" s="187">
        <f t="shared" si="11"/>
        <v>330537.1900000002</v>
      </c>
      <c r="V30" s="187">
        <f t="shared" si="12"/>
        <v>276550.99</v>
      </c>
      <c r="W30" s="187">
        <f t="shared" si="13"/>
        <v>66783.44000000018</v>
      </c>
      <c r="AA30" s="819">
        <v>15747.89</v>
      </c>
      <c r="AB30" s="73" t="s">
        <v>238</v>
      </c>
      <c r="AC30" s="444">
        <v>15747.89</v>
      </c>
      <c r="AD30" s="382">
        <v>2950.65</v>
      </c>
      <c r="AE30" s="382">
        <v>2950.65</v>
      </c>
    </row>
    <row r="31" spans="1:31" ht="18.75">
      <c r="A31" s="73" t="s">
        <v>304</v>
      </c>
      <c r="B31" s="1055">
        <v>0</v>
      </c>
      <c r="C31" s="354">
        <f>C238+C269+C300+C333+C364+C396</f>
        <v>814048.3499999999</v>
      </c>
      <c r="D31" s="359">
        <f>D238+D269+D300+D333+D364+D396</f>
        <v>441297.10000000003</v>
      </c>
      <c r="E31" s="83">
        <f t="shared" si="18"/>
        <v>0</v>
      </c>
      <c r="F31" s="158">
        <f>B31+C31+-D31-E31</f>
        <v>372751.2499999998</v>
      </c>
      <c r="G31" s="350">
        <v>0</v>
      </c>
      <c r="H31" s="355">
        <f>H238+H269+H300+H333+H364+H396</f>
        <v>0</v>
      </c>
      <c r="I31" s="355">
        <f>I238+I269+I300+I333+I364+I396</f>
        <v>0</v>
      </c>
      <c r="J31" s="159">
        <f t="shared" si="8"/>
        <v>0</v>
      </c>
      <c r="K31" s="351">
        <v>0</v>
      </c>
      <c r="L31" s="354">
        <f>L238+L269+L300+L333+L364+L396</f>
        <v>37008.98999999999</v>
      </c>
      <c r="M31" s="358">
        <f>M238+M269+M300+M333+M364+M396</f>
        <v>9676.69</v>
      </c>
      <c r="N31" s="89">
        <f t="shared" si="20"/>
        <v>27332.29999999999</v>
      </c>
      <c r="O31" s="352">
        <v>0</v>
      </c>
      <c r="P31" s="354">
        <f>P238+P269+P300+P333+P364+P396</f>
        <v>598.9200000000001</v>
      </c>
      <c r="Q31" s="145">
        <f t="shared" si="6"/>
        <v>0</v>
      </c>
      <c r="R31" s="358">
        <f>R238+R269+R300+R333+R364+R396</f>
        <v>37963.71000000001</v>
      </c>
      <c r="S31" s="358">
        <f>S238+S269+S300+S333+S364+S396</f>
        <v>-65385.46</v>
      </c>
      <c r="T31" s="353">
        <f t="shared" si="10"/>
        <v>0</v>
      </c>
      <c r="U31" s="187">
        <f t="shared" si="11"/>
        <v>851656.2599999999</v>
      </c>
      <c r="V31" s="187">
        <f t="shared" si="12"/>
        <v>488937.50000000006</v>
      </c>
      <c r="W31" s="187">
        <f t="shared" si="13"/>
        <v>362718.75999999983</v>
      </c>
      <c r="AA31" s="1056"/>
      <c r="AB31" s="73"/>
      <c r="AC31" s="444"/>
      <c r="AD31" s="382"/>
      <c r="AE31" s="382"/>
    </row>
    <row r="32" spans="1:31" ht="18.75">
      <c r="A32" s="73" t="s">
        <v>321</v>
      </c>
      <c r="B32" s="1055">
        <v>0</v>
      </c>
      <c r="C32" s="354">
        <f>C301</f>
        <v>56710</v>
      </c>
      <c r="D32" s="354">
        <f>D301</f>
        <v>1743.08</v>
      </c>
      <c r="E32" s="83">
        <f t="shared" si="18"/>
        <v>0</v>
      </c>
      <c r="F32" s="158">
        <f>B32+C32+-D32-E32</f>
        <v>54966.92</v>
      </c>
      <c r="G32" s="350">
        <v>0</v>
      </c>
      <c r="H32" s="355">
        <v>0</v>
      </c>
      <c r="I32" s="355"/>
      <c r="J32" s="159">
        <f t="shared" si="8"/>
        <v>0</v>
      </c>
      <c r="K32" s="351">
        <v>0</v>
      </c>
      <c r="L32" s="358">
        <f>L301+L334+L365+L398</f>
        <v>63329.270000000004</v>
      </c>
      <c r="M32" s="358">
        <f>M301+M334+M365+M398</f>
        <v>72113.9</v>
      </c>
      <c r="N32" s="89">
        <f t="shared" si="20"/>
        <v>-8784.62999999999</v>
      </c>
      <c r="O32" s="352">
        <v>0</v>
      </c>
      <c r="P32" s="354">
        <v>0</v>
      </c>
      <c r="Q32" s="145">
        <v>0</v>
      </c>
      <c r="R32" s="358">
        <f>R239+R270+R301+R334+R365+R398</f>
        <v>59116.47</v>
      </c>
      <c r="S32" s="358">
        <f>S301+S334+S365+S398</f>
        <v>-239974.58000000005</v>
      </c>
      <c r="T32" s="353">
        <f t="shared" si="10"/>
        <v>0</v>
      </c>
      <c r="U32" s="187">
        <f t="shared" si="11"/>
        <v>120039.27</v>
      </c>
      <c r="V32" s="187">
        <f t="shared" si="12"/>
        <v>132973.45</v>
      </c>
      <c r="W32" s="187">
        <f t="shared" si="13"/>
        <v>-12934.180000000008</v>
      </c>
      <c r="AA32" s="1056"/>
      <c r="AB32" s="73"/>
      <c r="AC32" s="444"/>
      <c r="AD32" s="382"/>
      <c r="AE32" s="382"/>
    </row>
    <row r="33" spans="1:31" ht="21">
      <c r="A33" s="241" t="s">
        <v>21</v>
      </c>
      <c r="B33" s="354">
        <v>925721.0800000002</v>
      </c>
      <c r="C33" s="356">
        <f>SUM(C6:C26)</f>
        <v>8325169.649999999</v>
      </c>
      <c r="D33" s="356">
        <f>SUM(D8:D26)</f>
        <v>7768045.7700000005</v>
      </c>
      <c r="E33" s="356">
        <f>SUM(E6:E26)</f>
        <v>0</v>
      </c>
      <c r="F33" s="498">
        <f>SUM(F8:F26)</f>
        <v>1105244.7200000011</v>
      </c>
      <c r="G33" s="356">
        <f>SUM(G6:G26)</f>
        <v>114951.25999999997</v>
      </c>
      <c r="H33" s="356">
        <f>SUM(H8:H26)</f>
        <v>76364.52</v>
      </c>
      <c r="I33" s="498">
        <f>SUM(I6:I26)</f>
        <v>10517.02</v>
      </c>
      <c r="J33" s="356">
        <f>SUM(J6:J26)</f>
        <v>196424.80999999997</v>
      </c>
      <c r="K33" s="499">
        <f>SUM(K6:K26)</f>
        <v>-802.9699999999948</v>
      </c>
      <c r="L33" s="356">
        <f>SUM(L8:L26)</f>
        <v>209563.36000000002</v>
      </c>
      <c r="M33" s="356">
        <f>SUM(M8:M26)</f>
        <v>210031.13999999996</v>
      </c>
      <c r="N33" s="356">
        <f>SUM(N8:N26)</f>
        <v>7717.839999999996</v>
      </c>
      <c r="O33" s="500">
        <f>SUM(O6:O26)</f>
        <v>-4158.699999999999</v>
      </c>
      <c r="P33" s="357">
        <f>SUM(P8:P26)</f>
        <v>20551.440000000002</v>
      </c>
      <c r="Q33" s="357">
        <f>SUM(Q8:Q26)</f>
        <v>0</v>
      </c>
      <c r="R33" s="356">
        <f>S63+R92+R121+R150+R179+R208+R235+R270+R302+R335+R366+R400</f>
        <v>131667</v>
      </c>
      <c r="S33" s="356">
        <f>SUM(S8:S26)</f>
        <v>-9089.209999999997</v>
      </c>
      <c r="T33" s="357">
        <f>SUM(T8:T32)</f>
        <v>1538104.2700000019</v>
      </c>
      <c r="U33" s="357">
        <f>SUM(U6:U32)</f>
        <v>11620592.29</v>
      </c>
      <c r="V33" s="357">
        <f>SUM(V6:V32)</f>
        <v>11462033.99</v>
      </c>
      <c r="W33" s="357">
        <f>SUM(W8:W32)</f>
        <v>1724993.5900000017</v>
      </c>
      <c r="AB33" s="241" t="s">
        <v>88</v>
      </c>
      <c r="AC33" s="444">
        <f>SUM(AC6:AC30)</f>
        <v>876966.8900000001</v>
      </c>
      <c r="AD33" s="382">
        <f>SUM(AD6:AD30)</f>
        <v>1077981.54</v>
      </c>
      <c r="AE33" s="382">
        <f>SUM(AE6:AE30)</f>
        <v>1041590.33</v>
      </c>
    </row>
    <row r="34" spans="1:31" ht="18.75">
      <c r="A34" s="68"/>
      <c r="B34" s="68"/>
      <c r="C34" s="68"/>
      <c r="D34" s="68"/>
      <c r="E34" s="68"/>
      <c r="F34" s="68"/>
      <c r="G34" s="106"/>
      <c r="H34" s="68"/>
      <c r="I34" s="68"/>
      <c r="J34" s="68"/>
      <c r="K34" s="70"/>
      <c r="L34" s="79"/>
      <c r="M34" s="68"/>
      <c r="N34" s="68"/>
      <c r="O34" s="70"/>
      <c r="P34" s="68"/>
      <c r="Q34" s="68"/>
      <c r="R34" s="68"/>
      <c r="S34" s="68"/>
      <c r="T34" s="68"/>
      <c r="U34" s="68"/>
      <c r="AB34" s="889"/>
      <c r="AC34" s="890"/>
      <c r="AD34" s="890"/>
      <c r="AE34" s="890"/>
    </row>
    <row r="35" spans="1:31" ht="19.5" thickBot="1">
      <c r="A35" s="68"/>
      <c r="B35" s="69" t="s">
        <v>181</v>
      </c>
      <c r="C35" s="69"/>
      <c r="D35" s="69"/>
      <c r="E35" s="69"/>
      <c r="F35" s="68"/>
      <c r="G35" s="68"/>
      <c r="H35" s="69"/>
      <c r="I35" s="68"/>
      <c r="J35" s="68"/>
      <c r="K35" s="70"/>
      <c r="L35" s="68" t="s">
        <v>278</v>
      </c>
      <c r="M35" s="68"/>
      <c r="N35" s="68"/>
      <c r="O35" s="70"/>
      <c r="P35" s="68"/>
      <c r="Q35" s="68"/>
      <c r="R35" s="68"/>
      <c r="S35" s="68"/>
      <c r="T35" s="70"/>
      <c r="AB35" s="889"/>
      <c r="AC35" s="890"/>
      <c r="AD35" s="890"/>
      <c r="AE35" s="890"/>
    </row>
    <row r="36" spans="1:31" ht="19.5" thickBot="1">
      <c r="A36" s="489" t="s">
        <v>135</v>
      </c>
      <c r="B36" s="1659" t="s">
        <v>272</v>
      </c>
      <c r="C36" s="1661" t="s">
        <v>2</v>
      </c>
      <c r="D36" s="1662"/>
      <c r="E36" s="1662"/>
      <c r="F36" s="1663"/>
      <c r="G36" s="178"/>
      <c r="H36" s="1638" t="s">
        <v>3</v>
      </c>
      <c r="I36" s="1639"/>
      <c r="J36" s="1640"/>
      <c r="K36" s="93"/>
      <c r="L36" s="1646" t="s">
        <v>4</v>
      </c>
      <c r="M36" s="1647"/>
      <c r="N36" s="1647"/>
      <c r="O36" s="165"/>
      <c r="P36" s="1644" t="s">
        <v>66</v>
      </c>
      <c r="Q36" s="1644"/>
      <c r="R36" s="1644"/>
      <c r="S36" s="1645"/>
      <c r="T36" s="97"/>
      <c r="U36" s="100" t="s">
        <v>67</v>
      </c>
      <c r="V36" s="100" t="s">
        <v>69</v>
      </c>
      <c r="W36" s="101" t="s">
        <v>71</v>
      </c>
      <c r="X36" s="102" t="s">
        <v>72</v>
      </c>
      <c r="AB36" s="867"/>
      <c r="AC36" s="678"/>
      <c r="AD36" s="678"/>
      <c r="AE36" s="678"/>
    </row>
    <row r="37" spans="1:31" ht="54.75" thickBot="1">
      <c r="A37" s="378" t="s">
        <v>134</v>
      </c>
      <c r="B37" s="1660"/>
      <c r="C37" s="179" t="s">
        <v>5</v>
      </c>
      <c r="D37" s="179" t="s">
        <v>58</v>
      </c>
      <c r="E37" s="179"/>
      <c r="F37" s="179" t="s">
        <v>6</v>
      </c>
      <c r="G37" s="180" t="s">
        <v>274</v>
      </c>
      <c r="H37" s="945" t="s">
        <v>270</v>
      </c>
      <c r="I37" s="95" t="s">
        <v>5</v>
      </c>
      <c r="J37" s="95" t="s">
        <v>6</v>
      </c>
      <c r="K37" s="96" t="s">
        <v>271</v>
      </c>
      <c r="L37" s="368" t="s">
        <v>272</v>
      </c>
      <c r="M37" s="122" t="s">
        <v>5</v>
      </c>
      <c r="N37" s="363" t="s">
        <v>6</v>
      </c>
      <c r="O37" s="122" t="s">
        <v>182</v>
      </c>
      <c r="P37" s="369" t="s">
        <v>273</v>
      </c>
      <c r="Q37" s="163" t="s">
        <v>33</v>
      </c>
      <c r="R37" s="164" t="s">
        <v>64</v>
      </c>
      <c r="S37" s="164" t="s">
        <v>183</v>
      </c>
      <c r="T37" s="98" t="s">
        <v>7</v>
      </c>
      <c r="U37" s="103" t="s">
        <v>68</v>
      </c>
      <c r="V37" s="104" t="s">
        <v>70</v>
      </c>
      <c r="W37" s="104" t="s">
        <v>70</v>
      </c>
      <c r="X37" s="504" t="s">
        <v>79</v>
      </c>
      <c r="Y37" s="239" t="s">
        <v>106</v>
      </c>
      <c r="Z37" s="239" t="s">
        <v>107</v>
      </c>
      <c r="AA37" s="845" t="s">
        <v>145</v>
      </c>
      <c r="AB37" s="668"/>
      <c r="AC37" s="673"/>
      <c r="AD37" s="673"/>
      <c r="AE37" s="674"/>
    </row>
    <row r="38" spans="1:31" ht="18.75">
      <c r="A38" s="90" t="s">
        <v>47</v>
      </c>
      <c r="B38" s="157">
        <f aca="true" t="shared" si="21" ref="B38:B62">B6</f>
        <v>116224.41999999995</v>
      </c>
      <c r="C38" s="517">
        <v>13088.35</v>
      </c>
      <c r="D38" s="517"/>
      <c r="E38" s="517"/>
      <c r="F38" s="518">
        <v>11030.93</v>
      </c>
      <c r="G38" s="519">
        <f>B38+C38+D38-F38</f>
        <v>118281.83999999997</v>
      </c>
      <c r="H38" s="946">
        <f aca="true" t="shared" si="22" ref="H38:H62">G6</f>
        <v>22511.74999999999</v>
      </c>
      <c r="I38" s="601">
        <v>-3741.27</v>
      </c>
      <c r="J38" s="91"/>
      <c r="K38" s="520">
        <f>H38+I38-J38</f>
        <v>18770.47999999999</v>
      </c>
      <c r="L38" s="521">
        <f aca="true" t="shared" si="23" ref="L38:L62">K6</f>
        <v>-5365.19</v>
      </c>
      <c r="M38" s="380">
        <v>4271.8</v>
      </c>
      <c r="N38" s="364">
        <v>0</v>
      </c>
      <c r="O38" s="380">
        <f aca="true" t="shared" si="24" ref="O38:O62">L38+M38-N38</f>
        <v>-1093.3899999999994</v>
      </c>
      <c r="P38" s="522">
        <f aca="true" t="shared" si="25" ref="P38:P62">O6</f>
        <v>-1524.96</v>
      </c>
      <c r="Q38" s="523">
        <v>29.23</v>
      </c>
      <c r="R38" s="99"/>
      <c r="S38" s="523">
        <v>28.24</v>
      </c>
      <c r="T38" s="509">
        <f>P38+Q38-R38-S38</f>
        <v>-1523.97</v>
      </c>
      <c r="U38" s="130">
        <f>S38</f>
        <v>28.24</v>
      </c>
      <c r="V38" s="134">
        <f>N38</f>
        <v>0</v>
      </c>
      <c r="W38" s="134">
        <f>J38</f>
        <v>0</v>
      </c>
      <c r="X38" s="277">
        <f>U38+V38+W38</f>
        <v>28.24</v>
      </c>
      <c r="Y38" s="270">
        <f>C38+I38+M38+Q38</f>
        <v>13648.11</v>
      </c>
      <c r="Z38" s="270">
        <f>F38+J38+N38+S38</f>
        <v>11059.17</v>
      </c>
      <c r="AA38" s="515">
        <f>F38+S38</f>
        <v>11059.17</v>
      </c>
      <c r="AB38" s="669"/>
      <c r="AC38" s="675"/>
      <c r="AD38" s="676"/>
      <c r="AE38" s="676"/>
    </row>
    <row r="39" spans="1:31" ht="18.75">
      <c r="A39" s="76" t="s">
        <v>53</v>
      </c>
      <c r="B39" s="157">
        <f t="shared" si="21"/>
        <v>142647.6500000002</v>
      </c>
      <c r="C39" s="524">
        <v>29755.06</v>
      </c>
      <c r="D39" s="524"/>
      <c r="E39" s="524"/>
      <c r="F39" s="525">
        <v>30091.85</v>
      </c>
      <c r="G39" s="526">
        <f aca="true" t="shared" si="26" ref="G39:G62">B39+C39+D39-F39</f>
        <v>142310.8600000002</v>
      </c>
      <c r="H39" s="946">
        <f t="shared" si="22"/>
        <v>98.13999999999976</v>
      </c>
      <c r="I39" s="601">
        <v>258.4</v>
      </c>
      <c r="J39" s="91"/>
      <c r="K39" s="520">
        <f aca="true" t="shared" si="27" ref="K39:K62">H39+I39-J39</f>
        <v>356.53999999999974</v>
      </c>
      <c r="L39" s="521">
        <f t="shared" si="23"/>
        <v>-3623.3999999999996</v>
      </c>
      <c r="M39" s="380">
        <v>120.78</v>
      </c>
      <c r="N39" s="364">
        <v>120.78</v>
      </c>
      <c r="O39" s="380">
        <f t="shared" si="24"/>
        <v>-3623.3999999999996</v>
      </c>
      <c r="P39" s="522">
        <f t="shared" si="25"/>
        <v>184.64</v>
      </c>
      <c r="Q39" s="523">
        <v>65.16</v>
      </c>
      <c r="R39" s="99"/>
      <c r="S39" s="523">
        <v>45.17</v>
      </c>
      <c r="T39" s="509">
        <f aca="true" t="shared" si="28" ref="T39:T62">P39+Q39-R39-S39</f>
        <v>204.63</v>
      </c>
      <c r="U39" s="130">
        <f aca="true" t="shared" si="29" ref="U39:U62">S39</f>
        <v>45.17</v>
      </c>
      <c r="V39" s="134">
        <f aca="true" t="shared" si="30" ref="V39:V62">N39</f>
        <v>120.78</v>
      </c>
      <c r="W39" s="134">
        <f aca="true" t="shared" si="31" ref="W39:W62">J39</f>
        <v>0</v>
      </c>
      <c r="X39" s="277">
        <f aca="true" t="shared" si="32" ref="X39:X62">U39+V39+W39</f>
        <v>165.95</v>
      </c>
      <c r="Y39" s="270">
        <f aca="true" t="shared" si="33" ref="Y39:Y62">C39+I39+M39+Q39</f>
        <v>30199.4</v>
      </c>
      <c r="Z39" s="270">
        <f aca="true" t="shared" si="34" ref="Z39:Z62">F39+J39+N39+S39</f>
        <v>30257.799999999996</v>
      </c>
      <c r="AA39" s="515">
        <f aca="true" t="shared" si="35" ref="AA39:AA62">F39+S39</f>
        <v>30137.019999999997</v>
      </c>
      <c r="AB39" s="669"/>
      <c r="AC39" s="675"/>
      <c r="AD39" s="676"/>
      <c r="AE39" s="676"/>
    </row>
    <row r="40" spans="1:31" ht="18.75">
      <c r="A40" s="76" t="s">
        <v>8</v>
      </c>
      <c r="B40" s="157">
        <f t="shared" si="21"/>
        <v>74445.62</v>
      </c>
      <c r="C40" s="525"/>
      <c r="D40" s="525"/>
      <c r="E40" s="525"/>
      <c r="F40" s="525"/>
      <c r="G40" s="526">
        <f t="shared" si="26"/>
        <v>74445.62</v>
      </c>
      <c r="H40" s="946">
        <f t="shared" si="22"/>
        <v>0</v>
      </c>
      <c r="I40" s="602"/>
      <c r="J40" s="527"/>
      <c r="K40" s="520">
        <f t="shared" si="27"/>
        <v>0</v>
      </c>
      <c r="L40" s="521">
        <f t="shared" si="23"/>
        <v>0</v>
      </c>
      <c r="M40" s="380"/>
      <c r="N40" s="528"/>
      <c r="O40" s="380">
        <f t="shared" si="24"/>
        <v>0</v>
      </c>
      <c r="P40" s="522">
        <f t="shared" si="25"/>
        <v>0</v>
      </c>
      <c r="Q40" s="523"/>
      <c r="R40" s="523"/>
      <c r="S40" s="523"/>
      <c r="T40" s="509">
        <f t="shared" si="28"/>
        <v>0</v>
      </c>
      <c r="U40" s="130">
        <f t="shared" si="29"/>
        <v>0</v>
      </c>
      <c r="V40" s="134">
        <f t="shared" si="30"/>
        <v>0</v>
      </c>
      <c r="W40" s="134">
        <f t="shared" si="31"/>
        <v>0</v>
      </c>
      <c r="X40" s="277">
        <f t="shared" si="32"/>
        <v>0</v>
      </c>
      <c r="Y40" s="270">
        <f t="shared" si="33"/>
        <v>0</v>
      </c>
      <c r="Z40" s="270">
        <f t="shared" si="34"/>
        <v>0</v>
      </c>
      <c r="AA40" s="515">
        <f t="shared" si="35"/>
        <v>0</v>
      </c>
      <c r="AB40" s="669"/>
      <c r="AC40" s="675"/>
      <c r="AD40" s="676"/>
      <c r="AE40" s="676"/>
    </row>
    <row r="41" spans="1:31" ht="18.75">
      <c r="A41" s="76" t="s">
        <v>48</v>
      </c>
      <c r="B41" s="157">
        <f t="shared" si="21"/>
        <v>326685.5800000002</v>
      </c>
      <c r="C41" s="525">
        <v>72292</v>
      </c>
      <c r="D41" s="525"/>
      <c r="E41" s="525"/>
      <c r="F41" s="525">
        <v>59837.68</v>
      </c>
      <c r="G41" s="526">
        <f t="shared" si="26"/>
        <v>339139.9000000002</v>
      </c>
      <c r="H41" s="946">
        <f t="shared" si="22"/>
        <v>23517.68999999999</v>
      </c>
      <c r="I41" s="602">
        <v>1241.79</v>
      </c>
      <c r="J41" s="527"/>
      <c r="K41" s="520">
        <f t="shared" si="27"/>
        <v>24759.479999999992</v>
      </c>
      <c r="L41" s="521">
        <f t="shared" si="23"/>
        <v>-1895.8799999999992</v>
      </c>
      <c r="M41" s="380">
        <v>1653.07</v>
      </c>
      <c r="N41" s="528">
        <v>0</v>
      </c>
      <c r="O41" s="380">
        <f t="shared" si="24"/>
        <v>-242.80999999999926</v>
      </c>
      <c r="P41" s="522">
        <f t="shared" si="25"/>
        <v>-2435.6799999999994</v>
      </c>
      <c r="Q41" s="523">
        <v>135.75</v>
      </c>
      <c r="R41" s="523"/>
      <c r="S41" s="523">
        <v>115.13</v>
      </c>
      <c r="T41" s="509">
        <f t="shared" si="28"/>
        <v>-2415.0599999999995</v>
      </c>
      <c r="U41" s="130">
        <f t="shared" si="29"/>
        <v>115.13</v>
      </c>
      <c r="V41" s="134">
        <f t="shared" si="30"/>
        <v>0</v>
      </c>
      <c r="W41" s="134">
        <f t="shared" si="31"/>
        <v>0</v>
      </c>
      <c r="X41" s="277">
        <f t="shared" si="32"/>
        <v>115.13</v>
      </c>
      <c r="Y41" s="270">
        <f t="shared" si="33"/>
        <v>75322.61</v>
      </c>
      <c r="Z41" s="270">
        <f t="shared" si="34"/>
        <v>59952.81</v>
      </c>
      <c r="AA41" s="515">
        <f t="shared" si="35"/>
        <v>59952.81</v>
      </c>
      <c r="AB41" s="669"/>
      <c r="AC41" s="675"/>
      <c r="AD41" s="676"/>
      <c r="AE41" s="676"/>
    </row>
    <row r="42" spans="1:31" ht="18.75">
      <c r="A42" s="332" t="s">
        <v>9</v>
      </c>
      <c r="B42" s="157">
        <f t="shared" si="21"/>
        <v>124496.9200000001</v>
      </c>
      <c r="C42" s="525">
        <v>17771.12</v>
      </c>
      <c r="D42" s="525"/>
      <c r="E42" s="525"/>
      <c r="F42" s="525">
        <v>15305.89</v>
      </c>
      <c r="G42" s="526">
        <f t="shared" si="26"/>
        <v>126962.1500000001</v>
      </c>
      <c r="H42" s="946">
        <f t="shared" si="22"/>
        <v>27699.92</v>
      </c>
      <c r="I42" s="602">
        <f>1527.99+99.64</f>
        <v>1627.63</v>
      </c>
      <c r="J42" s="527"/>
      <c r="K42" s="520">
        <f t="shared" si="27"/>
        <v>29327.55</v>
      </c>
      <c r="L42" s="521">
        <f t="shared" si="23"/>
        <v>0</v>
      </c>
      <c r="M42" s="380"/>
      <c r="N42" s="528"/>
      <c r="O42" s="380">
        <f t="shared" si="24"/>
        <v>0</v>
      </c>
      <c r="P42" s="522">
        <f t="shared" si="25"/>
        <v>111.83999999999989</v>
      </c>
      <c r="Q42" s="523">
        <v>182.19</v>
      </c>
      <c r="R42" s="523"/>
      <c r="S42" s="523">
        <v>170.27</v>
      </c>
      <c r="T42" s="509">
        <f t="shared" si="28"/>
        <v>123.75999999999985</v>
      </c>
      <c r="U42" s="130">
        <f t="shared" si="29"/>
        <v>170.27</v>
      </c>
      <c r="V42" s="134">
        <f t="shared" si="30"/>
        <v>0</v>
      </c>
      <c r="W42" s="134">
        <f t="shared" si="31"/>
        <v>0</v>
      </c>
      <c r="X42" s="277">
        <f t="shared" si="32"/>
        <v>170.27</v>
      </c>
      <c r="Y42" s="270">
        <f t="shared" si="33"/>
        <v>19580.94</v>
      </c>
      <c r="Z42" s="270">
        <f t="shared" si="34"/>
        <v>15476.16</v>
      </c>
      <c r="AA42" s="515">
        <f t="shared" si="35"/>
        <v>15476.16</v>
      </c>
      <c r="AB42" s="669"/>
      <c r="AC42" s="675"/>
      <c r="AD42" s="676"/>
      <c r="AE42" s="676"/>
    </row>
    <row r="43" spans="1:31" ht="18.75">
      <c r="A43" s="332" t="s">
        <v>10</v>
      </c>
      <c r="B43" s="157">
        <f t="shared" si="21"/>
        <v>11856.730000000083</v>
      </c>
      <c r="C43" s="526">
        <v>7795.77</v>
      </c>
      <c r="D43" s="526"/>
      <c r="E43" s="526"/>
      <c r="F43" s="526">
        <v>7196.21</v>
      </c>
      <c r="G43" s="526">
        <f t="shared" si="26"/>
        <v>12456.290000000085</v>
      </c>
      <c r="H43" s="946">
        <f t="shared" si="22"/>
        <v>0</v>
      </c>
      <c r="I43" s="602"/>
      <c r="J43" s="527"/>
      <c r="K43" s="520">
        <f t="shared" si="27"/>
        <v>0</v>
      </c>
      <c r="L43" s="521">
        <f t="shared" si="23"/>
        <v>0</v>
      </c>
      <c r="M43" s="380"/>
      <c r="N43" s="528"/>
      <c r="O43" s="380">
        <f t="shared" si="24"/>
        <v>0</v>
      </c>
      <c r="P43" s="522">
        <f t="shared" si="25"/>
        <v>0.779999999999994</v>
      </c>
      <c r="Q43" s="523">
        <v>11.61</v>
      </c>
      <c r="R43" s="523"/>
      <c r="S43" s="523">
        <v>11.61</v>
      </c>
      <c r="T43" s="509">
        <f t="shared" si="28"/>
        <v>0.779999999999994</v>
      </c>
      <c r="U43" s="130">
        <f t="shared" si="29"/>
        <v>11.61</v>
      </c>
      <c r="V43" s="134">
        <f t="shared" si="30"/>
        <v>0</v>
      </c>
      <c r="W43" s="134">
        <f t="shared" si="31"/>
        <v>0</v>
      </c>
      <c r="X43" s="277">
        <f t="shared" si="32"/>
        <v>11.61</v>
      </c>
      <c r="Y43" s="270">
        <f t="shared" si="33"/>
        <v>7807.38</v>
      </c>
      <c r="Z43" s="270">
        <f t="shared" si="34"/>
        <v>7207.82</v>
      </c>
      <c r="AA43" s="515">
        <f t="shared" si="35"/>
        <v>7207.82</v>
      </c>
      <c r="AB43" s="669"/>
      <c r="AC43" s="675"/>
      <c r="AD43" s="676"/>
      <c r="AE43" s="676"/>
    </row>
    <row r="44" spans="1:31" ht="18.75">
      <c r="A44" s="332" t="s">
        <v>11</v>
      </c>
      <c r="B44" s="157">
        <f t="shared" si="21"/>
        <v>6912.560000000041</v>
      </c>
      <c r="C44" s="526">
        <v>7768.21</v>
      </c>
      <c r="D44" s="526"/>
      <c r="E44" s="526"/>
      <c r="F44" s="526">
        <v>6917.71</v>
      </c>
      <c r="G44" s="526">
        <f t="shared" si="26"/>
        <v>7763.06000000004</v>
      </c>
      <c r="H44" s="946">
        <f t="shared" si="22"/>
        <v>0</v>
      </c>
      <c r="I44" s="602"/>
      <c r="J44" s="527"/>
      <c r="K44" s="520">
        <f t="shared" si="27"/>
        <v>0</v>
      </c>
      <c r="L44" s="521">
        <f t="shared" si="23"/>
        <v>0</v>
      </c>
      <c r="M44" s="380"/>
      <c r="N44" s="528"/>
      <c r="O44" s="380">
        <f t="shared" si="24"/>
        <v>0</v>
      </c>
      <c r="P44" s="522">
        <f t="shared" si="25"/>
        <v>89.53</v>
      </c>
      <c r="Q44" s="523">
        <v>4.98</v>
      </c>
      <c r="R44" s="523"/>
      <c r="S44" s="523">
        <v>53.09</v>
      </c>
      <c r="T44" s="509">
        <f t="shared" si="28"/>
        <v>41.42</v>
      </c>
      <c r="U44" s="130">
        <f t="shared" si="29"/>
        <v>53.09</v>
      </c>
      <c r="V44" s="134">
        <f t="shared" si="30"/>
        <v>0</v>
      </c>
      <c r="W44" s="134">
        <f t="shared" si="31"/>
        <v>0</v>
      </c>
      <c r="X44" s="277">
        <f t="shared" si="32"/>
        <v>53.09</v>
      </c>
      <c r="Y44" s="270">
        <f t="shared" si="33"/>
        <v>7773.19</v>
      </c>
      <c r="Z44" s="270">
        <f t="shared" si="34"/>
        <v>6970.8</v>
      </c>
      <c r="AA44" s="515">
        <f t="shared" si="35"/>
        <v>6970.8</v>
      </c>
      <c r="AB44" s="669"/>
      <c r="AC44" s="675"/>
      <c r="AD44" s="676"/>
      <c r="AE44" s="676"/>
    </row>
    <row r="45" spans="1:31" ht="18.75">
      <c r="A45" s="332" t="s">
        <v>12</v>
      </c>
      <c r="B45" s="157">
        <f t="shared" si="21"/>
        <v>79360.58000000019</v>
      </c>
      <c r="C45" s="526">
        <v>44459.32</v>
      </c>
      <c r="D45" s="526"/>
      <c r="E45" s="526"/>
      <c r="F45" s="526">
        <v>41726.5</v>
      </c>
      <c r="G45" s="526">
        <f t="shared" si="26"/>
        <v>82093.4000000002</v>
      </c>
      <c r="H45" s="946">
        <f t="shared" si="22"/>
        <v>6724.639999999996</v>
      </c>
      <c r="I45" s="602">
        <v>517.28</v>
      </c>
      <c r="J45" s="527"/>
      <c r="K45" s="520">
        <f t="shared" si="27"/>
        <v>7241.9199999999955</v>
      </c>
      <c r="L45" s="521">
        <f t="shared" si="23"/>
        <v>1508.3999999999987</v>
      </c>
      <c r="M45" s="380">
        <v>1526.4</v>
      </c>
      <c r="N45" s="528">
        <v>1526.4</v>
      </c>
      <c r="O45" s="380">
        <f t="shared" si="24"/>
        <v>1508.3999999999987</v>
      </c>
      <c r="P45" s="522">
        <f t="shared" si="25"/>
        <v>373.47</v>
      </c>
      <c r="Q45" s="523">
        <v>197.9</v>
      </c>
      <c r="R45" s="523"/>
      <c r="S45" s="523">
        <v>187.98</v>
      </c>
      <c r="T45" s="509">
        <f t="shared" si="28"/>
        <v>383.39</v>
      </c>
      <c r="U45" s="130">
        <f t="shared" si="29"/>
        <v>187.98</v>
      </c>
      <c r="V45" s="134">
        <f t="shared" si="30"/>
        <v>1526.4</v>
      </c>
      <c r="W45" s="134">
        <f t="shared" si="31"/>
        <v>0</v>
      </c>
      <c r="X45" s="277">
        <f t="shared" si="32"/>
        <v>1714.38</v>
      </c>
      <c r="Y45" s="270">
        <f t="shared" si="33"/>
        <v>46700.9</v>
      </c>
      <c r="Z45" s="270">
        <f t="shared" si="34"/>
        <v>43440.880000000005</v>
      </c>
      <c r="AA45" s="515">
        <f t="shared" si="35"/>
        <v>41914.48</v>
      </c>
      <c r="AB45" s="669"/>
      <c r="AC45" s="675"/>
      <c r="AD45" s="676"/>
      <c r="AE45" s="676"/>
    </row>
    <row r="46" spans="1:31" ht="18.75">
      <c r="A46" s="332" t="s">
        <v>13</v>
      </c>
      <c r="B46" s="157">
        <f t="shared" si="21"/>
        <v>43424.890000000014</v>
      </c>
      <c r="C46" s="526">
        <v>26273.16</v>
      </c>
      <c r="D46" s="526"/>
      <c r="E46" s="526"/>
      <c r="F46" s="526">
        <v>21029.58</v>
      </c>
      <c r="G46" s="526">
        <f t="shared" si="26"/>
        <v>48668.470000000016</v>
      </c>
      <c r="H46" s="946">
        <f t="shared" si="22"/>
        <v>2441.179999999999</v>
      </c>
      <c r="I46" s="602">
        <v>174.37</v>
      </c>
      <c r="J46" s="527"/>
      <c r="K46" s="520">
        <f t="shared" si="27"/>
        <v>2615.549999999999</v>
      </c>
      <c r="L46" s="521">
        <f t="shared" si="23"/>
        <v>-2290.02</v>
      </c>
      <c r="M46" s="380">
        <v>645.01</v>
      </c>
      <c r="N46" s="528">
        <v>0</v>
      </c>
      <c r="O46" s="380">
        <f t="shared" si="24"/>
        <v>-1645.01</v>
      </c>
      <c r="P46" s="522">
        <f t="shared" si="25"/>
        <v>75.28000000000013</v>
      </c>
      <c r="Q46" s="523">
        <v>22.4</v>
      </c>
      <c r="R46" s="523"/>
      <c r="S46" s="523">
        <v>25.06</v>
      </c>
      <c r="T46" s="509">
        <f t="shared" si="28"/>
        <v>72.62000000000012</v>
      </c>
      <c r="U46" s="130">
        <f t="shared" si="29"/>
        <v>25.06</v>
      </c>
      <c r="V46" s="134">
        <f t="shared" si="30"/>
        <v>0</v>
      </c>
      <c r="W46" s="134">
        <f t="shared" si="31"/>
        <v>0</v>
      </c>
      <c r="X46" s="277">
        <f t="shared" si="32"/>
        <v>25.06</v>
      </c>
      <c r="Y46" s="270">
        <f t="shared" si="33"/>
        <v>27114.94</v>
      </c>
      <c r="Z46" s="270">
        <f t="shared" si="34"/>
        <v>21054.640000000003</v>
      </c>
      <c r="AA46" s="515">
        <f t="shared" si="35"/>
        <v>21054.640000000003</v>
      </c>
      <c r="AB46" s="669"/>
      <c r="AC46" s="675"/>
      <c r="AD46" s="676"/>
      <c r="AE46" s="676"/>
    </row>
    <row r="47" spans="1:31" ht="18.75">
      <c r="A47" s="332" t="s">
        <v>14</v>
      </c>
      <c r="B47" s="157">
        <f t="shared" si="21"/>
        <v>52517.01000000007</v>
      </c>
      <c r="C47" s="526">
        <v>32415.33</v>
      </c>
      <c r="D47" s="526"/>
      <c r="E47" s="526"/>
      <c r="F47" s="526">
        <v>29528.1</v>
      </c>
      <c r="G47" s="526">
        <f t="shared" si="26"/>
        <v>55404.24000000007</v>
      </c>
      <c r="H47" s="946">
        <f t="shared" si="22"/>
        <v>3945.3199999999997</v>
      </c>
      <c r="I47" s="602">
        <v>184.44</v>
      </c>
      <c r="J47" s="527"/>
      <c r="K47" s="520">
        <f t="shared" si="27"/>
        <v>4129.759999999999</v>
      </c>
      <c r="L47" s="521">
        <f t="shared" si="23"/>
        <v>3558.7799999999993</v>
      </c>
      <c r="M47" s="380">
        <v>2408.85</v>
      </c>
      <c r="N47" s="528">
        <f>685.29+303.16</f>
        <v>988.45</v>
      </c>
      <c r="O47" s="380">
        <f t="shared" si="24"/>
        <v>4979.179999999999</v>
      </c>
      <c r="P47" s="522">
        <f t="shared" si="25"/>
        <v>-423.08000000000004</v>
      </c>
      <c r="Q47" s="523">
        <v>28.17</v>
      </c>
      <c r="R47" s="523"/>
      <c r="S47" s="523">
        <v>33.71</v>
      </c>
      <c r="T47" s="509">
        <f t="shared" si="28"/>
        <v>-428.62</v>
      </c>
      <c r="U47" s="130">
        <f t="shared" si="29"/>
        <v>33.71</v>
      </c>
      <c r="V47" s="134">
        <f t="shared" si="30"/>
        <v>988.45</v>
      </c>
      <c r="W47" s="134">
        <f t="shared" si="31"/>
        <v>0</v>
      </c>
      <c r="X47" s="277">
        <f t="shared" si="32"/>
        <v>1022.1600000000001</v>
      </c>
      <c r="Y47" s="270">
        <f t="shared" si="33"/>
        <v>35036.79</v>
      </c>
      <c r="Z47" s="270">
        <f t="shared" si="34"/>
        <v>30550.26</v>
      </c>
      <c r="AA47" s="515">
        <f t="shared" si="35"/>
        <v>29561.809999999998</v>
      </c>
      <c r="AB47" s="669"/>
      <c r="AC47" s="675"/>
      <c r="AD47" s="676"/>
      <c r="AE47" s="676"/>
    </row>
    <row r="48" spans="1:31" ht="18.75">
      <c r="A48" s="332" t="s">
        <v>55</v>
      </c>
      <c r="B48" s="157">
        <f t="shared" si="21"/>
        <v>41009.080000000016</v>
      </c>
      <c r="C48" s="526">
        <v>14758.92</v>
      </c>
      <c r="D48" s="526"/>
      <c r="E48" s="526"/>
      <c r="F48" s="526">
        <v>11427.37</v>
      </c>
      <c r="G48" s="526">
        <f t="shared" si="26"/>
        <v>44340.63000000001</v>
      </c>
      <c r="H48" s="946">
        <f t="shared" si="22"/>
        <v>2411.5</v>
      </c>
      <c r="I48" s="602">
        <v>185.5</v>
      </c>
      <c r="J48" s="527"/>
      <c r="K48" s="520">
        <f t="shared" si="27"/>
        <v>2597</v>
      </c>
      <c r="L48" s="521">
        <f t="shared" si="23"/>
        <v>1488.8900000000021</v>
      </c>
      <c r="M48" s="380">
        <v>372.59</v>
      </c>
      <c r="N48" s="528">
        <v>0</v>
      </c>
      <c r="O48" s="380">
        <f t="shared" si="24"/>
        <v>1861.480000000002</v>
      </c>
      <c r="P48" s="522">
        <f t="shared" si="25"/>
        <v>-84.25999999999999</v>
      </c>
      <c r="Q48" s="523">
        <v>2.59</v>
      </c>
      <c r="R48" s="523"/>
      <c r="S48" s="523">
        <v>2.59</v>
      </c>
      <c r="T48" s="509">
        <f t="shared" si="28"/>
        <v>-84.25999999999999</v>
      </c>
      <c r="U48" s="130">
        <f t="shared" si="29"/>
        <v>2.59</v>
      </c>
      <c r="V48" s="134">
        <f t="shared" si="30"/>
        <v>0</v>
      </c>
      <c r="W48" s="134">
        <f t="shared" si="31"/>
        <v>0</v>
      </c>
      <c r="X48" s="277">
        <f t="shared" si="32"/>
        <v>2.59</v>
      </c>
      <c r="Y48" s="270">
        <f t="shared" si="33"/>
        <v>15319.6</v>
      </c>
      <c r="Z48" s="270">
        <f t="shared" si="34"/>
        <v>11429.960000000001</v>
      </c>
      <c r="AA48" s="515">
        <f t="shared" si="35"/>
        <v>11429.960000000001</v>
      </c>
      <c r="AB48" s="669"/>
      <c r="AC48" s="675"/>
      <c r="AD48" s="676"/>
      <c r="AE48" s="676"/>
    </row>
    <row r="49" spans="1:31" ht="18.75">
      <c r="A49" s="332" t="s">
        <v>15</v>
      </c>
      <c r="B49" s="157">
        <f t="shared" si="21"/>
        <v>95343.31000000035</v>
      </c>
      <c r="C49" s="526">
        <v>34700.16</v>
      </c>
      <c r="D49" s="526"/>
      <c r="E49" s="526"/>
      <c r="F49" s="526">
        <v>31045.76</v>
      </c>
      <c r="G49" s="526">
        <f t="shared" si="26"/>
        <v>98997.71000000036</v>
      </c>
      <c r="H49" s="946">
        <f t="shared" si="22"/>
        <v>0</v>
      </c>
      <c r="I49" s="602"/>
      <c r="J49" s="527"/>
      <c r="K49" s="520">
        <f t="shared" si="27"/>
        <v>0</v>
      </c>
      <c r="L49" s="521">
        <f t="shared" si="23"/>
        <v>-2497.36</v>
      </c>
      <c r="M49" s="380">
        <v>354.57</v>
      </c>
      <c r="N49" s="528">
        <v>0</v>
      </c>
      <c r="O49" s="380">
        <f t="shared" si="24"/>
        <v>-2142.79</v>
      </c>
      <c r="P49" s="522">
        <f t="shared" si="25"/>
        <v>445.75999999999976</v>
      </c>
      <c r="Q49" s="523">
        <v>57.3</v>
      </c>
      <c r="R49" s="523"/>
      <c r="S49" s="523">
        <v>56.55</v>
      </c>
      <c r="T49" s="509">
        <f t="shared" si="28"/>
        <v>446.50999999999976</v>
      </c>
      <c r="U49" s="130">
        <f t="shared" si="29"/>
        <v>56.55</v>
      </c>
      <c r="V49" s="134">
        <f t="shared" si="30"/>
        <v>0</v>
      </c>
      <c r="W49" s="134">
        <f t="shared" si="31"/>
        <v>0</v>
      </c>
      <c r="X49" s="277">
        <f t="shared" si="32"/>
        <v>56.55</v>
      </c>
      <c r="Y49" s="270">
        <f t="shared" si="33"/>
        <v>35112.030000000006</v>
      </c>
      <c r="Z49" s="270">
        <f t="shared" si="34"/>
        <v>31102.309999999998</v>
      </c>
      <c r="AA49" s="515">
        <f t="shared" si="35"/>
        <v>31102.309999999998</v>
      </c>
      <c r="AB49" s="669"/>
      <c r="AC49" s="675"/>
      <c r="AD49" s="676"/>
      <c r="AE49" s="676"/>
    </row>
    <row r="50" spans="1:31" ht="18.75">
      <c r="A50" s="332" t="s">
        <v>16</v>
      </c>
      <c r="B50" s="157">
        <f t="shared" si="21"/>
        <v>35056.15000000008</v>
      </c>
      <c r="C50" s="526">
        <v>28244.23</v>
      </c>
      <c r="D50" s="526"/>
      <c r="E50" s="526"/>
      <c r="F50" s="526">
        <v>26014</v>
      </c>
      <c r="G50" s="526">
        <f t="shared" si="26"/>
        <v>37286.38000000008</v>
      </c>
      <c r="H50" s="946">
        <f t="shared" si="22"/>
        <v>0</v>
      </c>
      <c r="I50" s="602"/>
      <c r="J50" s="527"/>
      <c r="K50" s="520">
        <f t="shared" si="27"/>
        <v>0</v>
      </c>
      <c r="L50" s="521">
        <f t="shared" si="23"/>
        <v>1163.880000000002</v>
      </c>
      <c r="M50" s="380">
        <v>290.97</v>
      </c>
      <c r="N50" s="528">
        <v>0</v>
      </c>
      <c r="O50" s="380">
        <f t="shared" si="24"/>
        <v>1454.850000000002</v>
      </c>
      <c r="P50" s="522">
        <f t="shared" si="25"/>
        <v>81.15999999999998</v>
      </c>
      <c r="Q50" s="523">
        <v>2.16</v>
      </c>
      <c r="R50" s="523"/>
      <c r="S50" s="523">
        <v>2.16</v>
      </c>
      <c r="T50" s="509">
        <f t="shared" si="28"/>
        <v>81.15999999999998</v>
      </c>
      <c r="U50" s="130">
        <f t="shared" si="29"/>
        <v>2.16</v>
      </c>
      <c r="V50" s="134">
        <f t="shared" si="30"/>
        <v>0</v>
      </c>
      <c r="W50" s="134">
        <f t="shared" si="31"/>
        <v>0</v>
      </c>
      <c r="X50" s="277">
        <f t="shared" si="32"/>
        <v>2.16</v>
      </c>
      <c r="Y50" s="270">
        <f t="shared" si="33"/>
        <v>28537.36</v>
      </c>
      <c r="Z50" s="270">
        <f t="shared" si="34"/>
        <v>26016.16</v>
      </c>
      <c r="AA50" s="515">
        <f t="shared" si="35"/>
        <v>26016.16</v>
      </c>
      <c r="AB50" s="669"/>
      <c r="AC50" s="675"/>
      <c r="AD50" s="676"/>
      <c r="AE50" s="676"/>
    </row>
    <row r="51" spans="1:31" ht="18.75">
      <c r="A51" s="73" t="s">
        <v>17</v>
      </c>
      <c r="B51" s="157">
        <f t="shared" si="21"/>
        <v>57959.660000000265</v>
      </c>
      <c r="C51" s="526">
        <v>36774.58</v>
      </c>
      <c r="D51" s="526"/>
      <c r="E51" s="526"/>
      <c r="F51" s="526">
        <v>35321.84</v>
      </c>
      <c r="G51" s="526">
        <f t="shared" si="26"/>
        <v>59412.40000000027</v>
      </c>
      <c r="H51" s="946">
        <f t="shared" si="22"/>
        <v>4788.550000000001</v>
      </c>
      <c r="I51" s="602">
        <v>368.35</v>
      </c>
      <c r="J51" s="527"/>
      <c r="K51" s="520">
        <f t="shared" si="27"/>
        <v>5156.9000000000015</v>
      </c>
      <c r="L51" s="521">
        <f t="shared" si="23"/>
        <v>619.5699999999998</v>
      </c>
      <c r="M51" s="380">
        <v>619.57</v>
      </c>
      <c r="N51" s="528">
        <v>619.57</v>
      </c>
      <c r="O51" s="380">
        <f t="shared" si="24"/>
        <v>619.5699999999998</v>
      </c>
      <c r="P51" s="522">
        <f t="shared" si="25"/>
        <v>35.12000000000003</v>
      </c>
      <c r="Q51" s="523">
        <v>37.24</v>
      </c>
      <c r="R51" s="523"/>
      <c r="S51" s="523">
        <v>28.7</v>
      </c>
      <c r="T51" s="509">
        <f t="shared" si="28"/>
        <v>43.66000000000004</v>
      </c>
      <c r="U51" s="130">
        <f t="shared" si="29"/>
        <v>28.7</v>
      </c>
      <c r="V51" s="134">
        <f t="shared" si="30"/>
        <v>619.57</v>
      </c>
      <c r="W51" s="134">
        <f t="shared" si="31"/>
        <v>0</v>
      </c>
      <c r="X51" s="277">
        <f t="shared" si="32"/>
        <v>648.2700000000001</v>
      </c>
      <c r="Y51" s="270">
        <f t="shared" si="33"/>
        <v>37799.74</v>
      </c>
      <c r="Z51" s="270">
        <f t="shared" si="34"/>
        <v>35970.10999999999</v>
      </c>
      <c r="AA51" s="515">
        <f t="shared" si="35"/>
        <v>35350.53999999999</v>
      </c>
      <c r="AB51" s="669"/>
      <c r="AC51" s="675"/>
      <c r="AD51" s="676"/>
      <c r="AE51" s="676"/>
    </row>
    <row r="52" spans="1:31" ht="18.75">
      <c r="A52" s="73" t="s">
        <v>18</v>
      </c>
      <c r="B52" s="157">
        <f t="shared" si="21"/>
        <v>143533.18000000005</v>
      </c>
      <c r="C52" s="526">
        <v>78553.42</v>
      </c>
      <c r="D52" s="526"/>
      <c r="E52" s="526"/>
      <c r="F52" s="526">
        <v>67703.74</v>
      </c>
      <c r="G52" s="526">
        <f t="shared" si="26"/>
        <v>154382.86000000004</v>
      </c>
      <c r="H52" s="946">
        <f t="shared" si="22"/>
        <v>840.0499999999986</v>
      </c>
      <c r="I52" s="602"/>
      <c r="J52" s="527"/>
      <c r="K52" s="520">
        <f t="shared" si="27"/>
        <v>840.0499999999986</v>
      </c>
      <c r="L52" s="521">
        <f t="shared" si="23"/>
        <v>-686.3500000000004</v>
      </c>
      <c r="M52" s="380">
        <v>2216.46</v>
      </c>
      <c r="N52" s="528">
        <v>683.7</v>
      </c>
      <c r="O52" s="380">
        <f t="shared" si="24"/>
        <v>846.4099999999996</v>
      </c>
      <c r="P52" s="522">
        <f t="shared" si="25"/>
        <v>410.4100000000002</v>
      </c>
      <c r="Q52" s="523">
        <v>43.91</v>
      </c>
      <c r="R52" s="523"/>
      <c r="S52" s="523">
        <v>55.38</v>
      </c>
      <c r="T52" s="509">
        <f t="shared" si="28"/>
        <v>398.94000000000017</v>
      </c>
      <c r="U52" s="130">
        <f t="shared" si="29"/>
        <v>55.38</v>
      </c>
      <c r="V52" s="134">
        <f t="shared" si="30"/>
        <v>683.7</v>
      </c>
      <c r="W52" s="134">
        <f t="shared" si="31"/>
        <v>0</v>
      </c>
      <c r="X52" s="277">
        <f t="shared" si="32"/>
        <v>739.08</v>
      </c>
      <c r="Y52" s="270">
        <f t="shared" si="33"/>
        <v>80813.79000000001</v>
      </c>
      <c r="Z52" s="270">
        <f t="shared" si="34"/>
        <v>68442.82</v>
      </c>
      <c r="AA52" s="515">
        <f t="shared" si="35"/>
        <v>67759.12000000001</v>
      </c>
      <c r="AB52" s="669"/>
      <c r="AC52" s="675"/>
      <c r="AD52" s="676"/>
      <c r="AE52" s="676"/>
    </row>
    <row r="53" spans="1:31" ht="18.75">
      <c r="A53" s="166" t="s">
        <v>54</v>
      </c>
      <c r="B53" s="157">
        <f t="shared" si="21"/>
        <v>65501.5100000003</v>
      </c>
      <c r="C53" s="526">
        <v>33612.07</v>
      </c>
      <c r="D53" s="526"/>
      <c r="E53" s="526"/>
      <c r="F53" s="526">
        <v>31164.9</v>
      </c>
      <c r="G53" s="526">
        <f t="shared" si="26"/>
        <v>67948.68000000031</v>
      </c>
      <c r="H53" s="946">
        <f t="shared" si="22"/>
        <v>4305.600000000003</v>
      </c>
      <c r="I53" s="602">
        <v>261.82</v>
      </c>
      <c r="J53" s="527"/>
      <c r="K53" s="520">
        <f t="shared" si="27"/>
        <v>4567.420000000003</v>
      </c>
      <c r="L53" s="521">
        <f t="shared" si="23"/>
        <v>0</v>
      </c>
      <c r="M53" s="380"/>
      <c r="N53" s="528"/>
      <c r="O53" s="380">
        <f t="shared" si="24"/>
        <v>0</v>
      </c>
      <c r="P53" s="522">
        <f t="shared" si="25"/>
        <v>-1073.9</v>
      </c>
      <c r="Q53" s="523">
        <v>49.43</v>
      </c>
      <c r="R53" s="523"/>
      <c r="S53" s="523">
        <f>40.06+27.61</f>
        <v>67.67</v>
      </c>
      <c r="T53" s="509">
        <f t="shared" si="28"/>
        <v>-1092.14</v>
      </c>
      <c r="U53" s="130">
        <f t="shared" si="29"/>
        <v>67.67</v>
      </c>
      <c r="V53" s="134">
        <f t="shared" si="30"/>
        <v>0</v>
      </c>
      <c r="W53" s="134">
        <f t="shared" si="31"/>
        <v>0</v>
      </c>
      <c r="X53" s="277">
        <f t="shared" si="32"/>
        <v>67.67</v>
      </c>
      <c r="Y53" s="270">
        <f t="shared" si="33"/>
        <v>33923.32</v>
      </c>
      <c r="Z53" s="270">
        <f t="shared" si="34"/>
        <v>31232.57</v>
      </c>
      <c r="AA53" s="515">
        <f t="shared" si="35"/>
        <v>31232.57</v>
      </c>
      <c r="AB53" s="669"/>
      <c r="AC53" s="675"/>
      <c r="AD53" s="676"/>
      <c r="AE53" s="676"/>
    </row>
    <row r="54" spans="1:31" ht="18.75">
      <c r="A54" s="166" t="s">
        <v>49</v>
      </c>
      <c r="B54" s="157">
        <f t="shared" si="21"/>
        <v>174609.3500000002</v>
      </c>
      <c r="C54" s="526">
        <v>71492.24</v>
      </c>
      <c r="D54" s="526"/>
      <c r="E54" s="526"/>
      <c r="F54" s="526">
        <v>62845.04</v>
      </c>
      <c r="G54" s="526">
        <f t="shared" si="26"/>
        <v>183256.5500000002</v>
      </c>
      <c r="H54" s="946">
        <f t="shared" si="22"/>
        <v>10624.380000000001</v>
      </c>
      <c r="I54" s="602">
        <v>817.26</v>
      </c>
      <c r="J54" s="527"/>
      <c r="K54" s="520">
        <f t="shared" si="27"/>
        <v>11441.640000000001</v>
      </c>
      <c r="L54" s="521">
        <f t="shared" si="23"/>
        <v>2721.660000000003</v>
      </c>
      <c r="M54" s="380">
        <v>3556.3</v>
      </c>
      <c r="N54" s="528">
        <v>3098.91</v>
      </c>
      <c r="O54" s="380">
        <f t="shared" si="24"/>
        <v>3179.050000000003</v>
      </c>
      <c r="P54" s="522">
        <f t="shared" si="25"/>
        <v>-831.8000000000001</v>
      </c>
      <c r="Q54" s="523">
        <v>17.19</v>
      </c>
      <c r="R54" s="523"/>
      <c r="S54" s="523">
        <f>10.68+243.28</f>
        <v>253.96</v>
      </c>
      <c r="T54" s="509">
        <f t="shared" si="28"/>
        <v>-1068.57</v>
      </c>
      <c r="U54" s="130">
        <f t="shared" si="29"/>
        <v>253.96</v>
      </c>
      <c r="V54" s="134">
        <f t="shared" si="30"/>
        <v>3098.91</v>
      </c>
      <c r="W54" s="134">
        <f t="shared" si="31"/>
        <v>0</v>
      </c>
      <c r="X54" s="277">
        <f t="shared" si="32"/>
        <v>3352.87</v>
      </c>
      <c r="Y54" s="270">
        <f t="shared" si="33"/>
        <v>75882.99</v>
      </c>
      <c r="Z54" s="270">
        <f t="shared" si="34"/>
        <v>66197.91</v>
      </c>
      <c r="AA54" s="515">
        <f t="shared" si="35"/>
        <v>63099</v>
      </c>
      <c r="AB54" s="669"/>
      <c r="AC54" s="675"/>
      <c r="AD54" s="675"/>
      <c r="AE54" s="676"/>
    </row>
    <row r="55" spans="1:31" ht="18.75">
      <c r="A55" s="166" t="s">
        <v>19</v>
      </c>
      <c r="B55" s="157">
        <f t="shared" si="21"/>
        <v>83668.37</v>
      </c>
      <c r="C55" s="526">
        <v>52752.49</v>
      </c>
      <c r="D55" s="526"/>
      <c r="E55" s="526"/>
      <c r="F55" s="526">
        <v>50158.05</v>
      </c>
      <c r="G55" s="526">
        <f t="shared" si="26"/>
        <v>86262.80999999998</v>
      </c>
      <c r="H55" s="946">
        <f t="shared" si="22"/>
        <v>5042.539999999998</v>
      </c>
      <c r="I55" s="602">
        <v>356.69</v>
      </c>
      <c r="J55" s="527"/>
      <c r="K55" s="520">
        <f t="shared" si="27"/>
        <v>5399.229999999998</v>
      </c>
      <c r="L55" s="521">
        <f t="shared" si="23"/>
        <v>727.1800000000007</v>
      </c>
      <c r="M55" s="380">
        <v>1284.72</v>
      </c>
      <c r="N55" s="528">
        <v>0</v>
      </c>
      <c r="O55" s="380">
        <f t="shared" si="24"/>
        <v>2011.9000000000008</v>
      </c>
      <c r="P55" s="522">
        <f t="shared" si="25"/>
        <v>305.0200000000003</v>
      </c>
      <c r="Q55" s="523">
        <v>189.02</v>
      </c>
      <c r="R55" s="523"/>
      <c r="S55" s="523">
        <v>171.95</v>
      </c>
      <c r="T55" s="509">
        <f t="shared" si="28"/>
        <v>322.0900000000003</v>
      </c>
      <c r="U55" s="130">
        <f t="shared" si="29"/>
        <v>171.95</v>
      </c>
      <c r="V55" s="134">
        <f t="shared" si="30"/>
        <v>0</v>
      </c>
      <c r="W55" s="134">
        <f t="shared" si="31"/>
        <v>0</v>
      </c>
      <c r="X55" s="277">
        <f t="shared" si="32"/>
        <v>171.95</v>
      </c>
      <c r="Y55" s="270">
        <f t="shared" si="33"/>
        <v>54582.92</v>
      </c>
      <c r="Z55" s="270">
        <f t="shared" si="34"/>
        <v>50330</v>
      </c>
      <c r="AA55" s="515">
        <f t="shared" si="35"/>
        <v>50330</v>
      </c>
      <c r="AB55" s="669"/>
      <c r="AC55" s="675"/>
      <c r="AD55" s="676"/>
      <c r="AE55" s="676"/>
    </row>
    <row r="56" spans="1:31" ht="18.75">
      <c r="A56" s="169" t="s">
        <v>20</v>
      </c>
      <c r="B56" s="157">
        <f t="shared" si="21"/>
        <v>53126.62000000005</v>
      </c>
      <c r="C56" s="529">
        <v>34274.05</v>
      </c>
      <c r="D56" s="529"/>
      <c r="E56" s="529"/>
      <c r="F56" s="529">
        <v>29488.23</v>
      </c>
      <c r="G56" s="529">
        <f t="shared" si="26"/>
        <v>57912.44000000006</v>
      </c>
      <c r="H56" s="946">
        <f t="shared" si="22"/>
        <v>0</v>
      </c>
      <c r="I56" s="603"/>
      <c r="J56" s="530"/>
      <c r="K56" s="527">
        <f t="shared" si="27"/>
        <v>0</v>
      </c>
      <c r="L56" s="521">
        <f t="shared" si="23"/>
        <v>3766.87</v>
      </c>
      <c r="M56" s="531">
        <v>689</v>
      </c>
      <c r="N56" s="531"/>
      <c r="O56" s="380">
        <f t="shared" si="24"/>
        <v>4455.87</v>
      </c>
      <c r="P56" s="522">
        <f t="shared" si="25"/>
        <v>105.80999999999995</v>
      </c>
      <c r="Q56" s="532">
        <v>1.95</v>
      </c>
      <c r="R56" s="532"/>
      <c r="S56" s="532">
        <v>1.95</v>
      </c>
      <c r="T56" s="510">
        <f t="shared" si="28"/>
        <v>105.80999999999995</v>
      </c>
      <c r="U56" s="130">
        <f t="shared" si="29"/>
        <v>1.95</v>
      </c>
      <c r="V56" s="134">
        <f t="shared" si="30"/>
        <v>0</v>
      </c>
      <c r="W56" s="134">
        <f t="shared" si="31"/>
        <v>0</v>
      </c>
      <c r="X56" s="277">
        <f t="shared" si="32"/>
        <v>1.95</v>
      </c>
      <c r="Y56" s="270">
        <f t="shared" si="33"/>
        <v>34965</v>
      </c>
      <c r="Z56" s="270">
        <f t="shared" si="34"/>
        <v>29490.18</v>
      </c>
      <c r="AA56" s="515">
        <f t="shared" si="35"/>
        <v>29490.18</v>
      </c>
      <c r="AB56" s="669"/>
      <c r="AC56" s="675"/>
      <c r="AD56" s="676"/>
      <c r="AE56" s="676"/>
    </row>
    <row r="57" spans="1:31" ht="21" customHeight="1">
      <c r="A57" s="73" t="s">
        <v>114</v>
      </c>
      <c r="B57" s="157">
        <f t="shared" si="21"/>
        <v>-435740.67000000045</v>
      </c>
      <c r="C57" s="533">
        <v>41829.72</v>
      </c>
      <c r="D57" s="365"/>
      <c r="E57" s="365"/>
      <c r="F57" s="533">
        <v>36471.58</v>
      </c>
      <c r="G57" s="529">
        <f t="shared" si="26"/>
        <v>-430382.53000000044</v>
      </c>
      <c r="H57" s="946">
        <f t="shared" si="22"/>
        <v>0</v>
      </c>
      <c r="I57" s="600">
        <v>268.71</v>
      </c>
      <c r="J57" s="365"/>
      <c r="K57" s="527">
        <f t="shared" si="27"/>
        <v>268.71</v>
      </c>
      <c r="L57" s="521">
        <f t="shared" si="23"/>
        <v>0</v>
      </c>
      <c r="M57" s="365">
        <f>700.23+721.33</f>
        <v>1421.56</v>
      </c>
      <c r="N57" s="365">
        <v>0</v>
      </c>
      <c r="O57" s="380">
        <f t="shared" si="24"/>
        <v>1421.56</v>
      </c>
      <c r="P57" s="522">
        <f t="shared" si="25"/>
        <v>-3.280000000000001</v>
      </c>
      <c r="Q57" s="534">
        <v>81.68</v>
      </c>
      <c r="R57" s="365"/>
      <c r="S57" s="534">
        <v>81.99</v>
      </c>
      <c r="T57" s="510">
        <f t="shared" si="28"/>
        <v>-3.589999999999989</v>
      </c>
      <c r="U57" s="130">
        <f t="shared" si="29"/>
        <v>81.99</v>
      </c>
      <c r="V57" s="134">
        <f t="shared" si="30"/>
        <v>0</v>
      </c>
      <c r="W57" s="134">
        <f t="shared" si="31"/>
        <v>0</v>
      </c>
      <c r="X57" s="277">
        <f t="shared" si="32"/>
        <v>81.99</v>
      </c>
      <c r="Y57" s="270">
        <f t="shared" si="33"/>
        <v>43601.67</v>
      </c>
      <c r="Z57" s="270">
        <f t="shared" si="34"/>
        <v>36553.57</v>
      </c>
      <c r="AA57" s="515">
        <f t="shared" si="35"/>
        <v>36553.57</v>
      </c>
      <c r="AB57" s="669"/>
      <c r="AC57" s="675"/>
      <c r="AD57" s="675"/>
      <c r="AE57" s="676"/>
    </row>
    <row r="58" spans="1:31" ht="18.75" customHeight="1">
      <c r="A58" s="73" t="s">
        <v>115</v>
      </c>
      <c r="B58" s="157">
        <f t="shared" si="21"/>
        <v>109405.45000000007</v>
      </c>
      <c r="C58" s="535">
        <v>14903.07</v>
      </c>
      <c r="D58" s="535"/>
      <c r="E58" s="535"/>
      <c r="F58" s="536">
        <v>11893.25</v>
      </c>
      <c r="G58" s="529">
        <f t="shared" si="26"/>
        <v>112415.27000000008</v>
      </c>
      <c r="H58" s="946">
        <f t="shared" si="22"/>
        <v>0</v>
      </c>
      <c r="I58" s="604"/>
      <c r="J58" s="535"/>
      <c r="K58" s="527">
        <f t="shared" si="27"/>
        <v>0</v>
      </c>
      <c r="L58" s="521">
        <f t="shared" si="23"/>
        <v>0</v>
      </c>
      <c r="M58" s="537"/>
      <c r="N58" s="535"/>
      <c r="O58" s="380">
        <f t="shared" si="24"/>
        <v>0</v>
      </c>
      <c r="P58" s="522">
        <f t="shared" si="25"/>
        <v>-0.5599999999999996</v>
      </c>
      <c r="Q58" s="535">
        <v>0.09</v>
      </c>
      <c r="R58" s="535"/>
      <c r="S58" s="535">
        <v>0.09</v>
      </c>
      <c r="T58" s="510">
        <f t="shared" si="28"/>
        <v>-0.5599999999999996</v>
      </c>
      <c r="U58" s="130">
        <f t="shared" si="29"/>
        <v>0.09</v>
      </c>
      <c r="V58" s="134">
        <f t="shared" si="30"/>
        <v>0</v>
      </c>
      <c r="W58" s="134">
        <f t="shared" si="31"/>
        <v>0</v>
      </c>
      <c r="X58" s="277">
        <f t="shared" si="32"/>
        <v>0.09</v>
      </c>
      <c r="Y58" s="270">
        <f t="shared" si="33"/>
        <v>14903.16</v>
      </c>
      <c r="Z58" s="270">
        <f t="shared" si="34"/>
        <v>11893.34</v>
      </c>
      <c r="AA58" s="515">
        <f t="shared" si="35"/>
        <v>11893.34</v>
      </c>
      <c r="AB58" s="669"/>
      <c r="AC58" s="675"/>
      <c r="AD58" s="676"/>
      <c r="AE58" s="676"/>
    </row>
    <row r="59" spans="1:31" ht="18.75" customHeight="1">
      <c r="A59" s="73" t="s">
        <v>188</v>
      </c>
      <c r="B59" s="157">
        <f t="shared" si="21"/>
        <v>72619.40999999995</v>
      </c>
      <c r="C59" s="535">
        <v>39551.25</v>
      </c>
      <c r="D59" s="535"/>
      <c r="E59" s="535"/>
      <c r="F59" s="536">
        <v>66924.8</v>
      </c>
      <c r="G59" s="529">
        <f t="shared" si="26"/>
        <v>45245.85999999994</v>
      </c>
      <c r="H59" s="946">
        <f t="shared" si="22"/>
        <v>2373.87</v>
      </c>
      <c r="I59" s="604">
        <v>338.67</v>
      </c>
      <c r="J59" s="535"/>
      <c r="K59" s="527">
        <f t="shared" si="27"/>
        <v>2712.54</v>
      </c>
      <c r="L59" s="521">
        <f t="shared" si="23"/>
        <v>5009.190000000002</v>
      </c>
      <c r="M59" s="537">
        <f>666.74+359.87+435.13</f>
        <v>1461.7400000000002</v>
      </c>
      <c r="N59" s="535">
        <v>5000</v>
      </c>
      <c r="O59" s="380">
        <f t="shared" si="24"/>
        <v>1470.930000000002</v>
      </c>
      <c r="P59" s="522">
        <f t="shared" si="25"/>
        <v>-4838.96</v>
      </c>
      <c r="Q59" s="535">
        <v>1134.75</v>
      </c>
      <c r="R59" s="535"/>
      <c r="S59" s="535">
        <f>1080.59+5856.71</f>
        <v>6937.3</v>
      </c>
      <c r="T59" s="510">
        <f t="shared" si="28"/>
        <v>-10641.51</v>
      </c>
      <c r="U59" s="130">
        <f t="shared" si="29"/>
        <v>6937.3</v>
      </c>
      <c r="V59" s="134">
        <f t="shared" si="30"/>
        <v>5000</v>
      </c>
      <c r="W59" s="134">
        <f t="shared" si="31"/>
        <v>0</v>
      </c>
      <c r="X59" s="277">
        <f t="shared" si="32"/>
        <v>11937.3</v>
      </c>
      <c r="Y59" s="270">
        <f t="shared" si="33"/>
        <v>42486.409999999996</v>
      </c>
      <c r="Z59" s="270">
        <f t="shared" si="34"/>
        <v>78862.1</v>
      </c>
      <c r="AA59" s="515">
        <f t="shared" si="35"/>
        <v>73862.1</v>
      </c>
      <c r="AB59" s="669"/>
      <c r="AC59" s="675"/>
      <c r="AD59" s="676"/>
      <c r="AE59" s="676"/>
    </row>
    <row r="60" spans="1:31" ht="18.75" customHeight="1">
      <c r="A60" s="73" t="s">
        <v>189</v>
      </c>
      <c r="B60" s="157">
        <f t="shared" si="21"/>
        <v>215104.45999999996</v>
      </c>
      <c r="C60" s="535">
        <v>45631.94</v>
      </c>
      <c r="D60" s="535"/>
      <c r="E60" s="535"/>
      <c r="F60" s="536">
        <v>58407.76</v>
      </c>
      <c r="G60" s="529">
        <f t="shared" si="26"/>
        <v>202328.63999999996</v>
      </c>
      <c r="H60" s="946">
        <f t="shared" si="22"/>
        <v>6231.74</v>
      </c>
      <c r="I60" s="604">
        <v>2162.4</v>
      </c>
      <c r="J60" s="535"/>
      <c r="K60" s="527">
        <f t="shared" si="27"/>
        <v>8394.14</v>
      </c>
      <c r="L60" s="521">
        <f t="shared" si="23"/>
        <v>-16528.399999999998</v>
      </c>
      <c r="M60" s="537">
        <v>701.19</v>
      </c>
      <c r="N60" s="535"/>
      <c r="O60" s="380">
        <f t="shared" si="24"/>
        <v>-15827.209999999997</v>
      </c>
      <c r="P60" s="522">
        <f t="shared" si="25"/>
        <v>-45080.85</v>
      </c>
      <c r="Q60" s="535">
        <v>607.05</v>
      </c>
      <c r="R60" s="535"/>
      <c r="S60" s="535">
        <f>796.83+2991.95</f>
        <v>3788.7799999999997</v>
      </c>
      <c r="T60" s="510">
        <f t="shared" si="28"/>
        <v>-48262.579999999994</v>
      </c>
      <c r="U60" s="130">
        <f t="shared" si="29"/>
        <v>3788.7799999999997</v>
      </c>
      <c r="V60" s="134">
        <f t="shared" si="30"/>
        <v>0</v>
      </c>
      <c r="W60" s="134">
        <f t="shared" si="31"/>
        <v>0</v>
      </c>
      <c r="X60" s="277">
        <f t="shared" si="32"/>
        <v>3788.7799999999997</v>
      </c>
      <c r="Y60" s="270">
        <f t="shared" si="33"/>
        <v>49102.58000000001</v>
      </c>
      <c r="Z60" s="270">
        <f t="shared" si="34"/>
        <v>62196.54</v>
      </c>
      <c r="AA60" s="515">
        <f t="shared" si="35"/>
        <v>62196.54</v>
      </c>
      <c r="AB60" s="669"/>
      <c r="AC60" s="675"/>
      <c r="AD60" s="676"/>
      <c r="AE60" s="676"/>
    </row>
    <row r="61" spans="1:31" ht="18.75" customHeight="1">
      <c r="A61" s="73" t="s">
        <v>218</v>
      </c>
      <c r="B61" s="157">
        <f t="shared" si="21"/>
        <v>171031.19</v>
      </c>
      <c r="C61" s="535">
        <v>42325.8</v>
      </c>
      <c r="D61" s="535"/>
      <c r="E61" s="535"/>
      <c r="F61" s="536">
        <v>57157.1</v>
      </c>
      <c r="G61" s="529">
        <f t="shared" si="26"/>
        <v>156199.88999999998</v>
      </c>
      <c r="H61" s="946">
        <f t="shared" si="22"/>
        <v>0</v>
      </c>
      <c r="I61" s="604"/>
      <c r="J61" s="535"/>
      <c r="K61" s="527">
        <f t="shared" si="27"/>
        <v>0</v>
      </c>
      <c r="L61" s="521">
        <f t="shared" si="23"/>
        <v>-62945.81</v>
      </c>
      <c r="M61" s="537">
        <v>1927.08</v>
      </c>
      <c r="N61" s="535">
        <v>1927.08</v>
      </c>
      <c r="O61" s="380">
        <f t="shared" si="24"/>
        <v>-62945.81</v>
      </c>
      <c r="P61" s="522">
        <f t="shared" si="25"/>
        <v>-58549.320000000014</v>
      </c>
      <c r="Q61" s="535">
        <v>74.37</v>
      </c>
      <c r="R61" s="535"/>
      <c r="S61" s="535">
        <f>20.19+7137.03</f>
        <v>7157.219999999999</v>
      </c>
      <c r="T61" s="510">
        <f t="shared" si="28"/>
        <v>-65632.17000000001</v>
      </c>
      <c r="U61" s="130">
        <f t="shared" si="29"/>
        <v>7157.219999999999</v>
      </c>
      <c r="V61" s="134">
        <f t="shared" si="30"/>
        <v>1927.08</v>
      </c>
      <c r="W61" s="134">
        <f t="shared" si="31"/>
        <v>0</v>
      </c>
      <c r="X61" s="277">
        <f t="shared" si="32"/>
        <v>9084.3</v>
      </c>
      <c r="Y61" s="270">
        <f t="shared" si="33"/>
        <v>44327.25000000001</v>
      </c>
      <c r="Z61" s="270">
        <f t="shared" si="34"/>
        <v>66241.4</v>
      </c>
      <c r="AA61" s="515">
        <f t="shared" si="35"/>
        <v>64314.32</v>
      </c>
      <c r="AB61" s="669"/>
      <c r="AC61" s="675"/>
      <c r="AD61" s="676"/>
      <c r="AE61" s="676"/>
    </row>
    <row r="62" spans="1:31" ht="18.75" customHeight="1">
      <c r="A62" s="73" t="s">
        <v>238</v>
      </c>
      <c r="B62" s="157">
        <f t="shared" si="21"/>
        <v>12797.24</v>
      </c>
      <c r="C62" s="535">
        <v>133588.89</v>
      </c>
      <c r="D62" s="535"/>
      <c r="E62" s="535"/>
      <c r="F62" s="536">
        <v>13555.3</v>
      </c>
      <c r="G62" s="529">
        <f t="shared" si="26"/>
        <v>132830.83000000002</v>
      </c>
      <c r="H62" s="946">
        <f t="shared" si="22"/>
        <v>0</v>
      </c>
      <c r="I62" s="604"/>
      <c r="J62" s="535"/>
      <c r="K62" s="527">
        <f t="shared" si="27"/>
        <v>0</v>
      </c>
      <c r="L62" s="521">
        <f t="shared" si="23"/>
        <v>0</v>
      </c>
      <c r="M62" s="537"/>
      <c r="N62" s="535"/>
      <c r="O62" s="380">
        <f t="shared" si="24"/>
        <v>0</v>
      </c>
      <c r="P62" s="522">
        <f t="shared" si="25"/>
        <v>0</v>
      </c>
      <c r="Q62" s="535">
        <v>20602.77</v>
      </c>
      <c r="R62" s="535"/>
      <c r="S62" s="535">
        <v>-6.44</v>
      </c>
      <c r="T62" s="510">
        <f t="shared" si="28"/>
        <v>20609.21</v>
      </c>
      <c r="U62" s="130">
        <f t="shared" si="29"/>
        <v>-6.44</v>
      </c>
      <c r="V62" s="134">
        <f t="shared" si="30"/>
        <v>0</v>
      </c>
      <c r="W62" s="134">
        <f t="shared" si="31"/>
        <v>0</v>
      </c>
      <c r="X62" s="277">
        <f t="shared" si="32"/>
        <v>-6.44</v>
      </c>
      <c r="Y62" s="270">
        <f t="shared" si="33"/>
        <v>154191.66</v>
      </c>
      <c r="Z62" s="270">
        <f t="shared" si="34"/>
        <v>13548.859999999999</v>
      </c>
      <c r="AA62" s="515">
        <f t="shared" si="35"/>
        <v>13548.859999999999</v>
      </c>
      <c r="AB62" s="669"/>
      <c r="AC62" s="675"/>
      <c r="AD62" s="676"/>
      <c r="AE62" s="676"/>
    </row>
    <row r="63" spans="1:31" ht="28.5" customHeight="1">
      <c r="A63" s="514" t="s">
        <v>127</v>
      </c>
      <c r="B63" s="506">
        <f>SUM(B38:B62)</f>
        <v>1873596.2700000019</v>
      </c>
      <c r="C63" s="507">
        <f>SUM(C38:C62)</f>
        <v>954611.15</v>
      </c>
      <c r="D63" s="507">
        <f>SUM(D38:D58)</f>
        <v>0</v>
      </c>
      <c r="E63" s="508"/>
      <c r="F63" s="505">
        <f>SUM(F38:F62)</f>
        <v>812243.17</v>
      </c>
      <c r="G63" s="505">
        <f>SUM(G38:G62)</f>
        <v>2015964.250000002</v>
      </c>
      <c r="H63" s="505">
        <f>SUM(H38:H62)</f>
        <v>123556.86999999997</v>
      </c>
      <c r="I63" s="665">
        <f>SUM(I38:I62)</f>
        <v>5022.040000000001</v>
      </c>
      <c r="J63" s="508">
        <f>SUM(J38:J58)</f>
        <v>0</v>
      </c>
      <c r="K63" s="505">
        <f aca="true" t="shared" si="36" ref="K63:Q63">SUM(K38:K62)</f>
        <v>128578.90999999999</v>
      </c>
      <c r="L63" s="505">
        <f t="shared" si="36"/>
        <v>-75267.98999999999</v>
      </c>
      <c r="M63" s="505">
        <f t="shared" si="36"/>
        <v>25521.660000000003</v>
      </c>
      <c r="N63" s="508">
        <f t="shared" si="36"/>
        <v>13964.890000000001</v>
      </c>
      <c r="O63" s="505">
        <f t="shared" si="36"/>
        <v>-63711.21999999999</v>
      </c>
      <c r="P63" s="505">
        <f t="shared" si="36"/>
        <v>-112627.83000000002</v>
      </c>
      <c r="Q63" s="505">
        <f t="shared" si="36"/>
        <v>23578.89</v>
      </c>
      <c r="R63" s="508"/>
      <c r="S63" s="505">
        <f>SUM(S38:S62)</f>
        <v>19270.109999999997</v>
      </c>
      <c r="T63" s="505">
        <f>SUM(T38:T62)</f>
        <v>-108319.05000000002</v>
      </c>
      <c r="U63" s="505">
        <f>SUM(U38:U62)</f>
        <v>19270.109999999997</v>
      </c>
      <c r="V63" s="505">
        <f>SUM(V38:V62)</f>
        <v>13964.890000000001</v>
      </c>
      <c r="W63" s="505">
        <f>SUM(W38:W62)</f>
        <v>0</v>
      </c>
      <c r="X63" s="505">
        <f>U63+V63+W63</f>
        <v>33235</v>
      </c>
      <c r="Y63" s="370">
        <f>SUM(Y38:Y62)</f>
        <v>1008733.7400000002</v>
      </c>
      <c r="Z63" s="370">
        <f>SUM(Z38:Z62)</f>
        <v>845478.1699999999</v>
      </c>
      <c r="AA63" s="666">
        <f>SUM(AA38:AA62)</f>
        <v>831513.2799999998</v>
      </c>
      <c r="AB63" s="670"/>
      <c r="AC63" s="677"/>
      <c r="AD63" s="678"/>
      <c r="AE63" s="676"/>
    </row>
    <row r="64" spans="1:31" ht="28.5" customHeight="1">
      <c r="A64" s="846"/>
      <c r="B64" s="847"/>
      <c r="C64" s="848"/>
      <c r="D64" s="848"/>
      <c r="E64" s="849"/>
      <c r="F64" s="850"/>
      <c r="G64" s="505"/>
      <c r="H64" s="505"/>
      <c r="I64" s="665"/>
      <c r="J64" s="508"/>
      <c r="K64" s="505"/>
      <c r="L64" s="505"/>
      <c r="M64" s="505"/>
      <c r="N64" s="508"/>
      <c r="O64" s="505"/>
      <c r="P64" s="851"/>
      <c r="Q64" s="852"/>
      <c r="R64" s="853"/>
      <c r="S64" s="852"/>
      <c r="T64" s="854"/>
      <c r="U64" s="854"/>
      <c r="V64" s="854"/>
      <c r="W64" s="854"/>
      <c r="X64" s="854"/>
      <c r="Y64" s="855"/>
      <c r="Z64" s="855"/>
      <c r="AA64" s="856"/>
      <c r="AB64" s="670"/>
      <c r="AC64" s="677"/>
      <c r="AD64" s="678"/>
      <c r="AE64" s="676"/>
    </row>
    <row r="65" spans="1:28" ht="39.75" customHeight="1" thickBot="1">
      <c r="A65" s="401" t="s">
        <v>121</v>
      </c>
      <c r="B65" s="1667" t="s">
        <v>22</v>
      </c>
      <c r="C65" s="1669" t="s">
        <v>2</v>
      </c>
      <c r="D65" s="1669"/>
      <c r="E65" s="1669"/>
      <c r="F65" s="1669"/>
      <c r="G65" s="1635" t="s">
        <v>3</v>
      </c>
      <c r="H65" s="1635"/>
      <c r="I65" s="1635"/>
      <c r="J65" s="366"/>
      <c r="K65" s="1648" t="s">
        <v>4</v>
      </c>
      <c r="L65" s="1648"/>
      <c r="M65" s="1648"/>
      <c r="N65" s="107"/>
      <c r="O65" s="86"/>
      <c r="P65" s="1636" t="s">
        <v>74</v>
      </c>
      <c r="Q65" s="1637"/>
      <c r="R65" s="1637"/>
      <c r="S65" s="1637"/>
      <c r="T65" s="367" t="s">
        <v>67</v>
      </c>
      <c r="U65" s="373" t="s">
        <v>69</v>
      </c>
      <c r="V65" s="374" t="s">
        <v>71</v>
      </c>
      <c r="W65" s="375" t="s">
        <v>72</v>
      </c>
      <c r="X65" s="52"/>
      <c r="Z65" s="39"/>
      <c r="AB65" s="667"/>
    </row>
    <row r="66" spans="1:31" ht="36.75" customHeight="1" thickBot="1">
      <c r="A66" s="377" t="s">
        <v>1</v>
      </c>
      <c r="B66" s="1668"/>
      <c r="C66" s="172" t="s">
        <v>5</v>
      </c>
      <c r="D66" s="95" t="s">
        <v>6</v>
      </c>
      <c r="E66" s="538" t="s">
        <v>147</v>
      </c>
      <c r="F66" s="95" t="s">
        <v>7</v>
      </c>
      <c r="G66" s="94" t="s">
        <v>22</v>
      </c>
      <c r="H66" s="95" t="s">
        <v>5</v>
      </c>
      <c r="I66" s="95" t="s">
        <v>6</v>
      </c>
      <c r="J66" s="96" t="s">
        <v>7</v>
      </c>
      <c r="K66" s="119" t="s">
        <v>22</v>
      </c>
      <c r="L66" s="120" t="s">
        <v>5</v>
      </c>
      <c r="M66" s="120" t="s">
        <v>6</v>
      </c>
      <c r="N66" s="120" t="s">
        <v>7</v>
      </c>
      <c r="O66" s="123" t="s">
        <v>22</v>
      </c>
      <c r="P66" s="123" t="s">
        <v>33</v>
      </c>
      <c r="Q66" s="124" t="s">
        <v>64</v>
      </c>
      <c r="R66" s="124" t="s">
        <v>6</v>
      </c>
      <c r="S66" s="125" t="s">
        <v>7</v>
      </c>
      <c r="T66" s="103" t="s">
        <v>68</v>
      </c>
      <c r="U66" s="104" t="s">
        <v>70</v>
      </c>
      <c r="V66" s="105" t="s">
        <v>70</v>
      </c>
      <c r="W66" s="189" t="s">
        <v>80</v>
      </c>
      <c r="X66" s="239" t="s">
        <v>106</v>
      </c>
      <c r="Y66" s="239" t="s">
        <v>107</v>
      </c>
      <c r="Z66" s="511" t="s">
        <v>146</v>
      </c>
      <c r="AB66" s="41" t="s">
        <v>134</v>
      </c>
      <c r="AC66" s="1588" t="s">
        <v>186</v>
      </c>
      <c r="AD66" s="1589"/>
      <c r="AE66" s="1590"/>
    </row>
    <row r="67" spans="1:31" ht="23.25">
      <c r="A67" s="174" t="s">
        <v>47</v>
      </c>
      <c r="B67" s="146">
        <f aca="true" t="shared" si="37" ref="B67:B91">G38</f>
        <v>118281.83999999997</v>
      </c>
      <c r="C67" s="170">
        <v>13228.46</v>
      </c>
      <c r="D67" s="170">
        <v>12462.67</v>
      </c>
      <c r="E67" s="170"/>
      <c r="F67" s="541">
        <f>B67+C67-D67</f>
        <v>119047.62999999996</v>
      </c>
      <c r="G67" s="974">
        <f aca="true" t="shared" si="38" ref="G67:G91">K38</f>
        <v>18770.47999999999</v>
      </c>
      <c r="H67" s="601">
        <v>1334.01</v>
      </c>
      <c r="I67" s="968">
        <v>0</v>
      </c>
      <c r="J67" s="145">
        <f>G67+H67-I67</f>
        <v>20104.489999999987</v>
      </c>
      <c r="K67" s="379">
        <f aca="true" t="shared" si="39" ref="K67:K91">O38</f>
        <v>-1093.3899999999994</v>
      </c>
      <c r="L67" s="526">
        <v>4271.8</v>
      </c>
      <c r="M67" s="962">
        <v>4271.8</v>
      </c>
      <c r="N67" s="121">
        <f>K67+L67-M67</f>
        <v>-1093.3899999999994</v>
      </c>
      <c r="O67" s="546">
        <f aca="true" t="shared" si="40" ref="O67:O91">T38</f>
        <v>-1523.97</v>
      </c>
      <c r="P67" s="542">
        <v>28.58</v>
      </c>
      <c r="Q67" s="127"/>
      <c r="R67" s="542">
        <v>26</v>
      </c>
      <c r="S67" s="546">
        <f>O67+P67-R67</f>
        <v>-1521.39</v>
      </c>
      <c r="T67" s="547">
        <f>R67</f>
        <v>26</v>
      </c>
      <c r="U67" s="134">
        <f>M67</f>
        <v>4271.8</v>
      </c>
      <c r="V67" s="134">
        <f>I67</f>
        <v>0</v>
      </c>
      <c r="W67" s="547">
        <f>T67+U67+V67</f>
        <v>4297.8</v>
      </c>
      <c r="X67" s="270">
        <f>C67+H67+L67+P67</f>
        <v>18862.850000000002</v>
      </c>
      <c r="Y67" s="270">
        <f>D67+I67+M67+R67</f>
        <v>16760.47</v>
      </c>
      <c r="Z67" s="512">
        <f>D67+R67</f>
        <v>12488.67</v>
      </c>
      <c r="AB67" s="975" t="s">
        <v>47</v>
      </c>
      <c r="AC67" s="8">
        <f aca="true" t="shared" si="41" ref="AC67:AC91">AC6+Y38+X67</f>
        <v>51570.04000000001</v>
      </c>
      <c r="AD67" s="8">
        <f aca="true" t="shared" si="42" ref="AD67:AD91">AD6+Z38+Y67</f>
        <v>44455.3</v>
      </c>
      <c r="AE67" s="843"/>
    </row>
    <row r="68" spans="1:31" ht="18.75">
      <c r="A68" s="168" t="s">
        <v>53</v>
      </c>
      <c r="B68" s="146">
        <f t="shared" si="37"/>
        <v>142310.8600000002</v>
      </c>
      <c r="C68" s="170">
        <v>29755.06</v>
      </c>
      <c r="D68" s="170">
        <v>27591.33</v>
      </c>
      <c r="E68" s="170"/>
      <c r="F68" s="541">
        <f aca="true" t="shared" si="43" ref="F68:F91">B68+C68-D68</f>
        <v>144474.5900000002</v>
      </c>
      <c r="G68" s="974">
        <f t="shared" si="38"/>
        <v>356.53999999999974</v>
      </c>
      <c r="H68" s="601">
        <v>258.4</v>
      </c>
      <c r="I68" s="968">
        <v>0</v>
      </c>
      <c r="J68" s="145">
        <f aca="true" t="shared" si="44" ref="J68:J91">G68+H68-I68</f>
        <v>614.9399999999997</v>
      </c>
      <c r="K68" s="379">
        <f t="shared" si="39"/>
        <v>-3623.3999999999996</v>
      </c>
      <c r="L68" s="526">
        <v>120.78</v>
      </c>
      <c r="M68" s="963">
        <v>0</v>
      </c>
      <c r="N68" s="121">
        <f aca="true" t="shared" si="45" ref="N68:N91">K68+L68-M68</f>
        <v>-3502.6199999999994</v>
      </c>
      <c r="O68" s="546">
        <f t="shared" si="40"/>
        <v>204.63</v>
      </c>
      <c r="P68" s="543">
        <v>39.63</v>
      </c>
      <c r="Q68" s="128"/>
      <c r="R68" s="543">
        <v>51.89</v>
      </c>
      <c r="S68" s="546">
        <f aca="true" t="shared" si="46" ref="S68:S91">O68+P68-R68</f>
        <v>192.37</v>
      </c>
      <c r="T68" s="547">
        <f aca="true" t="shared" si="47" ref="T68:T91">R68</f>
        <v>51.89</v>
      </c>
      <c r="U68" s="134">
        <f aca="true" t="shared" si="48" ref="U68:U91">M68</f>
        <v>0</v>
      </c>
      <c r="V68" s="134">
        <f aca="true" t="shared" si="49" ref="V68:V91">I68</f>
        <v>0</v>
      </c>
      <c r="W68" s="547">
        <f aca="true" t="shared" si="50" ref="W68:W91">T68+U68+V68</f>
        <v>51.89</v>
      </c>
      <c r="X68" s="270">
        <f aca="true" t="shared" si="51" ref="X68:X91">C68+H68+L68+P68</f>
        <v>30173.870000000003</v>
      </c>
      <c r="Y68" s="270">
        <f aca="true" t="shared" si="52" ref="Y68:Y91">D68+I68+M68+R68</f>
        <v>27643.22</v>
      </c>
      <c r="Z68" s="512">
        <f aca="true" t="shared" si="53" ref="Z68:Z91">D68+R68</f>
        <v>27643.22</v>
      </c>
      <c r="AB68" s="174" t="s">
        <v>53</v>
      </c>
      <c r="AC68" s="8">
        <f t="shared" si="41"/>
        <v>90547.27</v>
      </c>
      <c r="AD68" s="8">
        <f t="shared" si="42"/>
        <v>88303.23999999999</v>
      </c>
      <c r="AE68" s="41"/>
    </row>
    <row r="69" spans="1:31" ht="18.75">
      <c r="A69" s="168" t="s">
        <v>8</v>
      </c>
      <c r="B69" s="146">
        <f t="shared" si="37"/>
        <v>74445.62</v>
      </c>
      <c r="C69" s="78"/>
      <c r="D69" s="78"/>
      <c r="E69" s="78"/>
      <c r="F69" s="541">
        <f t="shared" si="43"/>
        <v>74445.62</v>
      </c>
      <c r="G69" s="974">
        <f t="shared" si="38"/>
        <v>0</v>
      </c>
      <c r="H69" s="602"/>
      <c r="I69" s="969">
        <v>0</v>
      </c>
      <c r="J69" s="145">
        <f t="shared" si="44"/>
        <v>0</v>
      </c>
      <c r="K69" s="379">
        <f t="shared" si="39"/>
        <v>0</v>
      </c>
      <c r="L69" s="526"/>
      <c r="M69" s="526"/>
      <c r="N69" s="121">
        <f t="shared" si="45"/>
        <v>0</v>
      </c>
      <c r="O69" s="546">
        <f t="shared" si="40"/>
        <v>0</v>
      </c>
      <c r="P69" s="544"/>
      <c r="Q69" s="129"/>
      <c r="R69" s="544"/>
      <c r="S69" s="546">
        <f t="shared" si="46"/>
        <v>0</v>
      </c>
      <c r="T69" s="547">
        <f t="shared" si="47"/>
        <v>0</v>
      </c>
      <c r="U69" s="134">
        <f t="shared" si="48"/>
        <v>0</v>
      </c>
      <c r="V69" s="134">
        <f t="shared" si="49"/>
        <v>0</v>
      </c>
      <c r="W69" s="547">
        <f t="shared" si="50"/>
        <v>0</v>
      </c>
      <c r="X69" s="270">
        <f t="shared" si="51"/>
        <v>0</v>
      </c>
      <c r="Y69" s="270">
        <f t="shared" si="52"/>
        <v>0</v>
      </c>
      <c r="Z69" s="512">
        <f t="shared" si="53"/>
        <v>0</v>
      </c>
      <c r="AB69" s="168" t="s">
        <v>8</v>
      </c>
      <c r="AC69" s="8">
        <f t="shared" si="41"/>
        <v>0</v>
      </c>
      <c r="AD69" s="8">
        <f t="shared" si="42"/>
        <v>0</v>
      </c>
      <c r="AE69" s="41"/>
    </row>
    <row r="70" spans="1:31" ht="18.75">
      <c r="A70" s="168" t="s">
        <v>48</v>
      </c>
      <c r="B70" s="146">
        <f t="shared" si="37"/>
        <v>339139.9000000002</v>
      </c>
      <c r="C70" s="78">
        <v>72281.26</v>
      </c>
      <c r="D70" s="78">
        <v>62580</v>
      </c>
      <c r="E70" s="78"/>
      <c r="F70" s="541">
        <f t="shared" si="43"/>
        <v>348841.1600000002</v>
      </c>
      <c r="G70" s="974">
        <f t="shared" si="38"/>
        <v>24759.479999999992</v>
      </c>
      <c r="H70" s="602">
        <v>1241.79</v>
      </c>
      <c r="I70" s="969">
        <v>0</v>
      </c>
      <c r="J70" s="145">
        <f t="shared" si="44"/>
        <v>26001.269999999993</v>
      </c>
      <c r="K70" s="379">
        <f t="shared" si="39"/>
        <v>-242.80999999999926</v>
      </c>
      <c r="L70" s="526">
        <f>1653.07+485.48</f>
        <v>2138.55</v>
      </c>
      <c r="M70" s="526">
        <v>1578.87</v>
      </c>
      <c r="N70" s="121">
        <f t="shared" si="45"/>
        <v>316.870000000001</v>
      </c>
      <c r="O70" s="546">
        <f t="shared" si="40"/>
        <v>-2415.0599999999995</v>
      </c>
      <c r="P70" s="544">
        <v>161.77</v>
      </c>
      <c r="Q70" s="129"/>
      <c r="R70" s="544">
        <v>157.7</v>
      </c>
      <c r="S70" s="546">
        <f t="shared" si="46"/>
        <v>-2410.9899999999993</v>
      </c>
      <c r="T70" s="547">
        <f t="shared" si="47"/>
        <v>157.7</v>
      </c>
      <c r="U70" s="134">
        <f t="shared" si="48"/>
        <v>1578.87</v>
      </c>
      <c r="V70" s="134">
        <f t="shared" si="49"/>
        <v>0</v>
      </c>
      <c r="W70" s="547">
        <f t="shared" si="50"/>
        <v>1736.57</v>
      </c>
      <c r="X70" s="270">
        <f t="shared" si="51"/>
        <v>75823.37</v>
      </c>
      <c r="Y70" s="270">
        <f t="shared" si="52"/>
        <v>64316.57</v>
      </c>
      <c r="Z70" s="512">
        <f t="shared" si="53"/>
        <v>62737.7</v>
      </c>
      <c r="AB70" s="168" t="s">
        <v>48</v>
      </c>
      <c r="AC70" s="8">
        <f t="shared" si="41"/>
        <v>226600.5</v>
      </c>
      <c r="AD70" s="8">
        <f t="shared" si="42"/>
        <v>206882.97999999998</v>
      </c>
      <c r="AE70" s="41"/>
    </row>
    <row r="71" spans="1:31" ht="18.75">
      <c r="A71" s="167" t="s">
        <v>9</v>
      </c>
      <c r="B71" s="146">
        <f t="shared" si="37"/>
        <v>126962.1500000001</v>
      </c>
      <c r="C71" s="78">
        <v>17857.29</v>
      </c>
      <c r="D71" s="78">
        <v>20488.91</v>
      </c>
      <c r="E71" s="78"/>
      <c r="F71" s="541">
        <f t="shared" si="43"/>
        <v>124330.53000000009</v>
      </c>
      <c r="G71" s="974">
        <f t="shared" si="38"/>
        <v>29327.55</v>
      </c>
      <c r="H71" s="602">
        <f>1527.99+99.64</f>
        <v>1627.63</v>
      </c>
      <c r="I71" s="969">
        <v>0</v>
      </c>
      <c r="J71" s="145">
        <f t="shared" si="44"/>
        <v>30955.18</v>
      </c>
      <c r="K71" s="379">
        <f t="shared" si="39"/>
        <v>0</v>
      </c>
      <c r="L71" s="526"/>
      <c r="M71" s="526"/>
      <c r="N71" s="121">
        <f t="shared" si="45"/>
        <v>0</v>
      </c>
      <c r="O71" s="546">
        <f t="shared" si="40"/>
        <v>123.75999999999985</v>
      </c>
      <c r="P71" s="544">
        <v>77.85</v>
      </c>
      <c r="Q71" s="129"/>
      <c r="R71" s="544">
        <v>72.02</v>
      </c>
      <c r="S71" s="546">
        <f t="shared" si="46"/>
        <v>129.58999999999986</v>
      </c>
      <c r="T71" s="547">
        <f t="shared" si="47"/>
        <v>72.02</v>
      </c>
      <c r="U71" s="134">
        <f t="shared" si="48"/>
        <v>0</v>
      </c>
      <c r="V71" s="134">
        <f t="shared" si="49"/>
        <v>0</v>
      </c>
      <c r="W71" s="547">
        <f t="shared" si="50"/>
        <v>72.02</v>
      </c>
      <c r="X71" s="270">
        <f t="shared" si="51"/>
        <v>19562.77</v>
      </c>
      <c r="Y71" s="270">
        <f t="shared" si="52"/>
        <v>20560.93</v>
      </c>
      <c r="Z71" s="512">
        <f t="shared" si="53"/>
        <v>20560.93</v>
      </c>
      <c r="AB71" s="168" t="s">
        <v>9</v>
      </c>
      <c r="AC71" s="8">
        <f t="shared" si="41"/>
        <v>58820.66</v>
      </c>
      <c r="AD71" s="8">
        <f t="shared" si="42"/>
        <v>56238.96</v>
      </c>
      <c r="AE71" s="41"/>
    </row>
    <row r="72" spans="1:31" ht="18.75">
      <c r="A72" s="167" t="s">
        <v>10</v>
      </c>
      <c r="B72" s="146">
        <f t="shared" si="37"/>
        <v>12456.290000000085</v>
      </c>
      <c r="C72" s="78">
        <v>7795.77</v>
      </c>
      <c r="D72" s="78">
        <v>8209.27</v>
      </c>
      <c r="E72" s="78"/>
      <c r="F72" s="541">
        <f t="shared" si="43"/>
        <v>12042.790000000085</v>
      </c>
      <c r="G72" s="974">
        <f t="shared" si="38"/>
        <v>0</v>
      </c>
      <c r="H72" s="602"/>
      <c r="I72" s="969">
        <v>0</v>
      </c>
      <c r="J72" s="145">
        <f t="shared" si="44"/>
        <v>0</v>
      </c>
      <c r="K72" s="379">
        <f t="shared" si="39"/>
        <v>0</v>
      </c>
      <c r="L72" s="526"/>
      <c r="M72" s="526"/>
      <c r="N72" s="121">
        <f t="shared" si="45"/>
        <v>0</v>
      </c>
      <c r="O72" s="546">
        <f t="shared" si="40"/>
        <v>0.779999999999994</v>
      </c>
      <c r="P72" s="544">
        <v>42.1</v>
      </c>
      <c r="Q72" s="129"/>
      <c r="R72" s="544">
        <v>42.1</v>
      </c>
      <c r="S72" s="546">
        <f t="shared" si="46"/>
        <v>0.779999999999994</v>
      </c>
      <c r="T72" s="547">
        <f t="shared" si="47"/>
        <v>42.1</v>
      </c>
      <c r="U72" s="134">
        <f t="shared" si="48"/>
        <v>0</v>
      </c>
      <c r="V72" s="134">
        <f t="shared" si="49"/>
        <v>0</v>
      </c>
      <c r="W72" s="547">
        <f t="shared" si="50"/>
        <v>42.1</v>
      </c>
      <c r="X72" s="270">
        <f t="shared" si="51"/>
        <v>7837.870000000001</v>
      </c>
      <c r="Y72" s="270">
        <f t="shared" si="52"/>
        <v>8251.37</v>
      </c>
      <c r="Z72" s="512">
        <f t="shared" si="53"/>
        <v>8251.37</v>
      </c>
      <c r="AB72" s="167" t="s">
        <v>10</v>
      </c>
      <c r="AC72" s="8">
        <f t="shared" si="41"/>
        <v>23465.04</v>
      </c>
      <c r="AD72" s="8">
        <f t="shared" si="42"/>
        <v>23621.300000000003</v>
      </c>
      <c r="AE72" s="41"/>
    </row>
    <row r="73" spans="1:31" ht="18.75">
      <c r="A73" s="167" t="s">
        <v>11</v>
      </c>
      <c r="B73" s="146">
        <f t="shared" si="37"/>
        <v>7763.06000000004</v>
      </c>
      <c r="C73" s="78">
        <v>7768.21</v>
      </c>
      <c r="D73" s="78">
        <v>7548.17</v>
      </c>
      <c r="E73" s="78"/>
      <c r="F73" s="541">
        <f t="shared" si="43"/>
        <v>7983.10000000004</v>
      </c>
      <c r="G73" s="974">
        <f t="shared" si="38"/>
        <v>0</v>
      </c>
      <c r="H73" s="602"/>
      <c r="I73" s="969">
        <v>0</v>
      </c>
      <c r="J73" s="145">
        <f t="shared" si="44"/>
        <v>0</v>
      </c>
      <c r="K73" s="379">
        <f t="shared" si="39"/>
        <v>0</v>
      </c>
      <c r="L73" s="526"/>
      <c r="M73" s="526"/>
      <c r="N73" s="121">
        <f t="shared" si="45"/>
        <v>0</v>
      </c>
      <c r="O73" s="546">
        <f t="shared" si="40"/>
        <v>41.42</v>
      </c>
      <c r="P73" s="544">
        <v>5.83</v>
      </c>
      <c r="Q73" s="129"/>
      <c r="R73" s="544">
        <v>5.72</v>
      </c>
      <c r="S73" s="546">
        <f t="shared" si="46"/>
        <v>41.53</v>
      </c>
      <c r="T73" s="547">
        <f t="shared" si="47"/>
        <v>5.72</v>
      </c>
      <c r="U73" s="134">
        <f t="shared" si="48"/>
        <v>0</v>
      </c>
      <c r="V73" s="134">
        <f t="shared" si="49"/>
        <v>0</v>
      </c>
      <c r="W73" s="547">
        <f t="shared" si="50"/>
        <v>5.72</v>
      </c>
      <c r="X73" s="270">
        <f t="shared" si="51"/>
        <v>7774.04</v>
      </c>
      <c r="Y73" s="270">
        <f t="shared" si="52"/>
        <v>7553.89</v>
      </c>
      <c r="Z73" s="512">
        <f t="shared" si="53"/>
        <v>7553.89</v>
      </c>
      <c r="AB73" s="167" t="s">
        <v>11</v>
      </c>
      <c r="AC73" s="8">
        <f t="shared" si="41"/>
        <v>23385.74</v>
      </c>
      <c r="AD73" s="8">
        <f t="shared" si="42"/>
        <v>26049.54</v>
      </c>
      <c r="AE73" s="41"/>
    </row>
    <row r="74" spans="1:31" ht="18.75">
      <c r="A74" s="167" t="s">
        <v>12</v>
      </c>
      <c r="B74" s="146">
        <f t="shared" si="37"/>
        <v>82093.4000000002</v>
      </c>
      <c r="C74" s="78">
        <v>44459.32</v>
      </c>
      <c r="D74" s="78">
        <v>43484.4</v>
      </c>
      <c r="E74" s="78"/>
      <c r="F74" s="541">
        <f t="shared" si="43"/>
        <v>83068.32000000021</v>
      </c>
      <c r="G74" s="974">
        <f t="shared" si="38"/>
        <v>7241.9199999999955</v>
      </c>
      <c r="H74" s="602">
        <v>517.28</v>
      </c>
      <c r="I74" s="969">
        <v>0</v>
      </c>
      <c r="J74" s="145">
        <f t="shared" si="44"/>
        <v>7759.199999999995</v>
      </c>
      <c r="K74" s="379">
        <f t="shared" si="39"/>
        <v>1508.3999999999987</v>
      </c>
      <c r="L74" s="526">
        <v>1526.4</v>
      </c>
      <c r="M74" s="526">
        <v>1526.4</v>
      </c>
      <c r="N74" s="121">
        <f t="shared" si="45"/>
        <v>1508.3999999999987</v>
      </c>
      <c r="O74" s="546">
        <f t="shared" si="40"/>
        <v>383.39</v>
      </c>
      <c r="P74" s="544">
        <v>83.42</v>
      </c>
      <c r="Q74" s="129"/>
      <c r="R74" s="544">
        <v>81.25</v>
      </c>
      <c r="S74" s="546">
        <f t="shared" si="46"/>
        <v>385.56</v>
      </c>
      <c r="T74" s="547">
        <f t="shared" si="47"/>
        <v>81.25</v>
      </c>
      <c r="U74" s="134">
        <f t="shared" si="48"/>
        <v>1526.4</v>
      </c>
      <c r="V74" s="134">
        <f t="shared" si="49"/>
        <v>0</v>
      </c>
      <c r="W74" s="547">
        <f t="shared" si="50"/>
        <v>1607.65</v>
      </c>
      <c r="X74" s="270">
        <f t="shared" si="51"/>
        <v>46586.42</v>
      </c>
      <c r="Y74" s="270">
        <f t="shared" si="52"/>
        <v>45092.05</v>
      </c>
      <c r="Z74" s="512">
        <f t="shared" si="53"/>
        <v>43565.65</v>
      </c>
      <c r="AB74" s="167" t="s">
        <v>12</v>
      </c>
      <c r="AC74" s="8">
        <f t="shared" si="41"/>
        <v>140036.78</v>
      </c>
      <c r="AD74" s="8">
        <f t="shared" si="42"/>
        <v>142714.10000000003</v>
      </c>
      <c r="AE74" s="41"/>
    </row>
    <row r="75" spans="1:31" ht="18.75">
      <c r="A75" s="167" t="s">
        <v>13</v>
      </c>
      <c r="B75" s="146">
        <f t="shared" si="37"/>
        <v>48668.470000000016</v>
      </c>
      <c r="C75" s="78">
        <v>26273.16</v>
      </c>
      <c r="D75" s="78">
        <v>25358.39</v>
      </c>
      <c r="E75" s="78"/>
      <c r="F75" s="541">
        <f t="shared" si="43"/>
        <v>49583.24000000002</v>
      </c>
      <c r="G75" s="974">
        <f t="shared" si="38"/>
        <v>2615.549999999999</v>
      </c>
      <c r="H75" s="602">
        <v>174.37</v>
      </c>
      <c r="I75" s="969">
        <v>0</v>
      </c>
      <c r="J75" s="145">
        <f t="shared" si="44"/>
        <v>2789.9199999999987</v>
      </c>
      <c r="K75" s="379">
        <f t="shared" si="39"/>
        <v>-1645.01</v>
      </c>
      <c r="L75" s="526">
        <v>645.01</v>
      </c>
      <c r="M75" s="526">
        <v>645.01</v>
      </c>
      <c r="N75" s="121">
        <f t="shared" si="45"/>
        <v>-1645.01</v>
      </c>
      <c r="O75" s="546">
        <f t="shared" si="40"/>
        <v>72.62000000000012</v>
      </c>
      <c r="P75" s="544">
        <v>34.51</v>
      </c>
      <c r="Q75" s="129"/>
      <c r="R75" s="544">
        <v>32.43</v>
      </c>
      <c r="S75" s="546">
        <f t="shared" si="46"/>
        <v>74.7000000000001</v>
      </c>
      <c r="T75" s="547">
        <f t="shared" si="47"/>
        <v>32.43</v>
      </c>
      <c r="U75" s="134">
        <f t="shared" si="48"/>
        <v>645.01</v>
      </c>
      <c r="V75" s="134">
        <f t="shared" si="49"/>
        <v>0</v>
      </c>
      <c r="W75" s="547">
        <f t="shared" si="50"/>
        <v>677.4399999999999</v>
      </c>
      <c r="X75" s="270">
        <f t="shared" si="51"/>
        <v>27127.049999999996</v>
      </c>
      <c r="Y75" s="270">
        <f t="shared" si="52"/>
        <v>26035.829999999998</v>
      </c>
      <c r="Z75" s="512">
        <f t="shared" si="53"/>
        <v>25390.82</v>
      </c>
      <c r="AB75" s="167" t="s">
        <v>13</v>
      </c>
      <c r="AC75" s="8">
        <f t="shared" si="41"/>
        <v>81381.25999999998</v>
      </c>
      <c r="AD75" s="8">
        <f t="shared" si="42"/>
        <v>74661.87</v>
      </c>
      <c r="AE75" s="41"/>
    </row>
    <row r="76" spans="1:31" ht="18.75">
      <c r="A76" s="167" t="s">
        <v>14</v>
      </c>
      <c r="B76" s="146">
        <f t="shared" si="37"/>
        <v>55404.24000000007</v>
      </c>
      <c r="C76" s="78">
        <v>32415.33</v>
      </c>
      <c r="D76" s="78">
        <v>31779.99</v>
      </c>
      <c r="E76" s="78"/>
      <c r="F76" s="541">
        <f t="shared" si="43"/>
        <v>56039.58000000006</v>
      </c>
      <c r="G76" s="974">
        <f t="shared" si="38"/>
        <v>4129.759999999999</v>
      </c>
      <c r="H76" s="602">
        <v>184.44</v>
      </c>
      <c r="I76" s="969">
        <v>0</v>
      </c>
      <c r="J76" s="145">
        <f t="shared" si="44"/>
        <v>4314.199999999999</v>
      </c>
      <c r="K76" s="379">
        <f t="shared" si="39"/>
        <v>4979.179999999999</v>
      </c>
      <c r="L76" s="526">
        <v>2408.85</v>
      </c>
      <c r="M76" s="526">
        <v>1750.59</v>
      </c>
      <c r="N76" s="121">
        <f t="shared" si="45"/>
        <v>5637.439999999999</v>
      </c>
      <c r="O76" s="546">
        <f t="shared" si="40"/>
        <v>-428.62</v>
      </c>
      <c r="P76" s="544">
        <v>106.25</v>
      </c>
      <c r="Q76" s="129"/>
      <c r="R76" s="544">
        <v>85.44</v>
      </c>
      <c r="S76" s="546">
        <f t="shared" si="46"/>
        <v>-407.81</v>
      </c>
      <c r="T76" s="547">
        <f t="shared" si="47"/>
        <v>85.44</v>
      </c>
      <c r="U76" s="134">
        <f t="shared" si="48"/>
        <v>1750.59</v>
      </c>
      <c r="V76" s="134">
        <f t="shared" si="49"/>
        <v>0</v>
      </c>
      <c r="W76" s="547">
        <f t="shared" si="50"/>
        <v>1836.03</v>
      </c>
      <c r="X76" s="270">
        <f t="shared" si="51"/>
        <v>35114.87</v>
      </c>
      <c r="Y76" s="270">
        <f t="shared" si="52"/>
        <v>33616.020000000004</v>
      </c>
      <c r="Z76" s="512">
        <f t="shared" si="53"/>
        <v>31865.43</v>
      </c>
      <c r="AB76" s="167" t="s">
        <v>14</v>
      </c>
      <c r="AC76" s="8">
        <f t="shared" si="41"/>
        <v>105351.19</v>
      </c>
      <c r="AD76" s="8">
        <f t="shared" si="42"/>
        <v>106317.1</v>
      </c>
      <c r="AE76" s="41"/>
    </row>
    <row r="77" spans="1:31" ht="18.75">
      <c r="A77" s="167" t="s">
        <v>55</v>
      </c>
      <c r="B77" s="146">
        <f t="shared" si="37"/>
        <v>44340.63000000001</v>
      </c>
      <c r="C77" s="78">
        <v>14758.92</v>
      </c>
      <c r="D77" s="78">
        <v>15240.42</v>
      </c>
      <c r="E77" s="78"/>
      <c r="F77" s="541">
        <f t="shared" si="43"/>
        <v>43859.13000000001</v>
      </c>
      <c r="G77" s="974">
        <f t="shared" si="38"/>
        <v>2597</v>
      </c>
      <c r="H77" s="602">
        <v>185.5</v>
      </c>
      <c r="I77" s="969">
        <v>0</v>
      </c>
      <c r="J77" s="145">
        <f t="shared" si="44"/>
        <v>2782.5</v>
      </c>
      <c r="K77" s="379">
        <f t="shared" si="39"/>
        <v>1861.480000000002</v>
      </c>
      <c r="L77" s="526">
        <v>372.59</v>
      </c>
      <c r="M77" s="526">
        <v>0</v>
      </c>
      <c r="N77" s="121">
        <f t="shared" si="45"/>
        <v>2234.070000000002</v>
      </c>
      <c r="O77" s="546">
        <f t="shared" si="40"/>
        <v>-84.25999999999999</v>
      </c>
      <c r="P77" s="544">
        <v>1.82</v>
      </c>
      <c r="Q77" s="129"/>
      <c r="R77" s="544">
        <v>1.82</v>
      </c>
      <c r="S77" s="546">
        <f t="shared" si="46"/>
        <v>-84.25999999999999</v>
      </c>
      <c r="T77" s="547">
        <f t="shared" si="47"/>
        <v>1.82</v>
      </c>
      <c r="U77" s="134">
        <f t="shared" si="48"/>
        <v>0</v>
      </c>
      <c r="V77" s="134">
        <f t="shared" si="49"/>
        <v>0</v>
      </c>
      <c r="W77" s="547">
        <f t="shared" si="50"/>
        <v>1.82</v>
      </c>
      <c r="X77" s="270">
        <f t="shared" si="51"/>
        <v>15318.83</v>
      </c>
      <c r="Y77" s="270">
        <f t="shared" si="52"/>
        <v>15242.24</v>
      </c>
      <c r="Z77" s="512">
        <f t="shared" si="53"/>
        <v>15242.24</v>
      </c>
      <c r="AB77" s="167" t="s">
        <v>55</v>
      </c>
      <c r="AC77" s="8">
        <f t="shared" si="41"/>
        <v>45990.130000000005</v>
      </c>
      <c r="AD77" s="8">
        <f t="shared" si="42"/>
        <v>44731.229999999996</v>
      </c>
      <c r="AE77" s="41"/>
    </row>
    <row r="78" spans="1:31" ht="18.75">
      <c r="A78" s="167" t="s">
        <v>15</v>
      </c>
      <c r="B78" s="146">
        <f t="shared" si="37"/>
        <v>98997.71000000036</v>
      </c>
      <c r="C78" s="78">
        <v>34700.16</v>
      </c>
      <c r="D78" s="78">
        <v>32332.06</v>
      </c>
      <c r="E78" s="78"/>
      <c r="F78" s="541">
        <f t="shared" si="43"/>
        <v>101365.81000000035</v>
      </c>
      <c r="G78" s="974">
        <f t="shared" si="38"/>
        <v>0</v>
      </c>
      <c r="H78" s="602"/>
      <c r="I78" s="969">
        <v>0</v>
      </c>
      <c r="J78" s="145">
        <f t="shared" si="44"/>
        <v>0</v>
      </c>
      <c r="K78" s="379">
        <f t="shared" si="39"/>
        <v>-2142.79</v>
      </c>
      <c r="L78" s="526">
        <v>354.57</v>
      </c>
      <c r="M78" s="526">
        <v>0</v>
      </c>
      <c r="N78" s="121">
        <f t="shared" si="45"/>
        <v>-1788.22</v>
      </c>
      <c r="O78" s="546">
        <f t="shared" si="40"/>
        <v>446.50999999999976</v>
      </c>
      <c r="P78" s="544">
        <v>71.27</v>
      </c>
      <c r="Q78" s="129"/>
      <c r="R78" s="544">
        <v>75.28</v>
      </c>
      <c r="S78" s="546">
        <f t="shared" si="46"/>
        <v>442.4999999999998</v>
      </c>
      <c r="T78" s="547">
        <f t="shared" si="47"/>
        <v>75.28</v>
      </c>
      <c r="U78" s="134">
        <f t="shared" si="48"/>
        <v>0</v>
      </c>
      <c r="V78" s="134">
        <f t="shared" si="49"/>
        <v>0</v>
      </c>
      <c r="W78" s="547">
        <f t="shared" si="50"/>
        <v>75.28</v>
      </c>
      <c r="X78" s="270">
        <f t="shared" si="51"/>
        <v>35126</v>
      </c>
      <c r="Y78" s="270">
        <f t="shared" si="52"/>
        <v>32407.34</v>
      </c>
      <c r="Z78" s="512">
        <f t="shared" si="53"/>
        <v>32407.34</v>
      </c>
      <c r="AB78" s="167" t="s">
        <v>15</v>
      </c>
      <c r="AC78" s="8">
        <f t="shared" si="41"/>
        <v>105433.05000000002</v>
      </c>
      <c r="AD78" s="8">
        <f t="shared" si="42"/>
        <v>103214.66999999998</v>
      </c>
      <c r="AE78" s="41"/>
    </row>
    <row r="79" spans="1:31" ht="18.75">
      <c r="A79" s="167" t="s">
        <v>16</v>
      </c>
      <c r="B79" s="146">
        <f t="shared" si="37"/>
        <v>37286.38000000008</v>
      </c>
      <c r="C79" s="78">
        <v>28244.23</v>
      </c>
      <c r="D79" s="78">
        <v>32335.6</v>
      </c>
      <c r="E79" s="78"/>
      <c r="F79" s="541">
        <f t="shared" si="43"/>
        <v>33195.010000000075</v>
      </c>
      <c r="G79" s="974">
        <f t="shared" si="38"/>
        <v>0</v>
      </c>
      <c r="H79" s="602"/>
      <c r="I79" s="969">
        <v>0</v>
      </c>
      <c r="J79" s="145">
        <f t="shared" si="44"/>
        <v>0</v>
      </c>
      <c r="K79" s="379">
        <f t="shared" si="39"/>
        <v>1454.850000000002</v>
      </c>
      <c r="L79" s="526">
        <v>290.97</v>
      </c>
      <c r="M79" s="526">
        <v>0</v>
      </c>
      <c r="N79" s="121">
        <f t="shared" si="45"/>
        <v>1745.820000000002</v>
      </c>
      <c r="O79" s="546">
        <f t="shared" si="40"/>
        <v>81.15999999999998</v>
      </c>
      <c r="P79" s="544">
        <v>4.06</v>
      </c>
      <c r="Q79" s="129"/>
      <c r="R79" s="544">
        <v>4.06</v>
      </c>
      <c r="S79" s="546">
        <f t="shared" si="46"/>
        <v>81.15999999999998</v>
      </c>
      <c r="T79" s="547">
        <f t="shared" si="47"/>
        <v>4.06</v>
      </c>
      <c r="U79" s="134">
        <f t="shared" si="48"/>
        <v>0</v>
      </c>
      <c r="V79" s="134">
        <f t="shared" si="49"/>
        <v>0</v>
      </c>
      <c r="W79" s="547">
        <f t="shared" si="50"/>
        <v>4.06</v>
      </c>
      <c r="X79" s="270">
        <f t="shared" si="51"/>
        <v>28539.260000000002</v>
      </c>
      <c r="Y79" s="270">
        <f t="shared" si="52"/>
        <v>32339.66</v>
      </c>
      <c r="Z79" s="512">
        <f t="shared" si="53"/>
        <v>32339.66</v>
      </c>
      <c r="AB79" s="167" t="s">
        <v>16</v>
      </c>
      <c r="AC79" s="8">
        <f t="shared" si="41"/>
        <v>85631.36000000002</v>
      </c>
      <c r="AD79" s="8">
        <f t="shared" si="42"/>
        <v>92108.31</v>
      </c>
      <c r="AE79" s="41"/>
    </row>
    <row r="80" spans="1:31" ht="18.75">
      <c r="A80" s="73" t="s">
        <v>17</v>
      </c>
      <c r="B80" s="146">
        <f t="shared" si="37"/>
        <v>59412.40000000027</v>
      </c>
      <c r="C80" s="78">
        <v>36774.58</v>
      </c>
      <c r="D80" s="78">
        <v>38185.59</v>
      </c>
      <c r="E80" s="78"/>
      <c r="F80" s="541">
        <f t="shared" si="43"/>
        <v>58001.390000000276</v>
      </c>
      <c r="G80" s="974">
        <f t="shared" si="38"/>
        <v>5156.9000000000015</v>
      </c>
      <c r="H80" s="602">
        <v>368.35</v>
      </c>
      <c r="I80" s="969">
        <v>0</v>
      </c>
      <c r="J80" s="145">
        <f t="shared" si="44"/>
        <v>5525.250000000002</v>
      </c>
      <c r="K80" s="379">
        <f t="shared" si="39"/>
        <v>619.5699999999998</v>
      </c>
      <c r="L80" s="526">
        <v>619.57</v>
      </c>
      <c r="M80" s="526">
        <v>0</v>
      </c>
      <c r="N80" s="121">
        <f t="shared" si="45"/>
        <v>1239.1399999999999</v>
      </c>
      <c r="O80" s="546">
        <f t="shared" si="40"/>
        <v>43.66000000000004</v>
      </c>
      <c r="P80" s="544">
        <v>160.28</v>
      </c>
      <c r="Q80" s="129"/>
      <c r="R80" s="544">
        <v>160.62</v>
      </c>
      <c r="S80" s="546">
        <f t="shared" si="46"/>
        <v>43.32000000000005</v>
      </c>
      <c r="T80" s="547">
        <f t="shared" si="47"/>
        <v>160.62</v>
      </c>
      <c r="U80" s="134">
        <f t="shared" si="48"/>
        <v>0</v>
      </c>
      <c r="V80" s="134">
        <f t="shared" si="49"/>
        <v>0</v>
      </c>
      <c r="W80" s="547">
        <f t="shared" si="50"/>
        <v>160.62</v>
      </c>
      <c r="X80" s="270">
        <f t="shared" si="51"/>
        <v>37922.78</v>
      </c>
      <c r="Y80" s="270">
        <f t="shared" si="52"/>
        <v>38346.21</v>
      </c>
      <c r="Z80" s="512">
        <f t="shared" si="53"/>
        <v>38346.21</v>
      </c>
      <c r="AB80" s="167" t="s">
        <v>17</v>
      </c>
      <c r="AC80" s="8">
        <f t="shared" si="41"/>
        <v>113522.76</v>
      </c>
      <c r="AD80" s="8">
        <f t="shared" si="42"/>
        <v>110928.06999999998</v>
      </c>
      <c r="AE80" s="41"/>
    </row>
    <row r="81" spans="1:31" ht="18.75">
      <c r="A81" s="73" t="s">
        <v>18</v>
      </c>
      <c r="B81" s="146">
        <f t="shared" si="37"/>
        <v>154382.86000000004</v>
      </c>
      <c r="C81" s="78">
        <v>78725.14</v>
      </c>
      <c r="D81" s="78">
        <v>79278.8</v>
      </c>
      <c r="E81" s="78"/>
      <c r="F81" s="541">
        <f>B81+C81-D81</f>
        <v>153829.20000000007</v>
      </c>
      <c r="G81" s="974">
        <f t="shared" si="38"/>
        <v>840.0499999999986</v>
      </c>
      <c r="H81" s="602"/>
      <c r="I81" s="969">
        <v>0</v>
      </c>
      <c r="J81" s="145">
        <f t="shared" si="44"/>
        <v>840.0499999999986</v>
      </c>
      <c r="K81" s="379">
        <f t="shared" si="39"/>
        <v>846.4099999999996</v>
      </c>
      <c r="L81" s="526">
        <v>2216.46</v>
      </c>
      <c r="M81" s="526">
        <v>1555.55</v>
      </c>
      <c r="N81" s="121">
        <f t="shared" si="45"/>
        <v>1507.32</v>
      </c>
      <c r="O81" s="546">
        <f t="shared" si="40"/>
        <v>398.94000000000017</v>
      </c>
      <c r="P81" s="544">
        <v>166.51</v>
      </c>
      <c r="Q81" s="129"/>
      <c r="R81" s="544">
        <v>217.66</v>
      </c>
      <c r="S81" s="546">
        <f t="shared" si="46"/>
        <v>347.7900000000002</v>
      </c>
      <c r="T81" s="547">
        <f t="shared" si="47"/>
        <v>217.66</v>
      </c>
      <c r="U81" s="134">
        <f t="shared" si="48"/>
        <v>1555.55</v>
      </c>
      <c r="V81" s="134">
        <f t="shared" si="49"/>
        <v>0</v>
      </c>
      <c r="W81" s="547">
        <f t="shared" si="50"/>
        <v>1773.21</v>
      </c>
      <c r="X81" s="270">
        <f t="shared" si="51"/>
        <v>81108.11</v>
      </c>
      <c r="Y81" s="270">
        <f>D81+I81+M81+R81</f>
        <v>81052.01000000001</v>
      </c>
      <c r="Z81" s="512">
        <f>D81+R81</f>
        <v>79496.46</v>
      </c>
      <c r="AB81" s="73" t="s">
        <v>18</v>
      </c>
      <c r="AC81" s="8">
        <f t="shared" si="41"/>
        <v>243221.13</v>
      </c>
      <c r="AD81" s="8">
        <f t="shared" si="42"/>
        <v>244801.5</v>
      </c>
      <c r="AE81" s="41"/>
    </row>
    <row r="82" spans="1:31" ht="18.75">
      <c r="A82" s="176" t="s">
        <v>54</v>
      </c>
      <c r="B82" s="146">
        <f t="shared" si="37"/>
        <v>67948.68000000031</v>
      </c>
      <c r="C82" s="78">
        <v>33612.07</v>
      </c>
      <c r="D82" s="78">
        <v>32862.92</v>
      </c>
      <c r="E82" s="78"/>
      <c r="F82" s="541">
        <f>B82+C82-D82</f>
        <v>68697.83000000032</v>
      </c>
      <c r="G82" s="974">
        <f t="shared" si="38"/>
        <v>4567.420000000003</v>
      </c>
      <c r="H82" s="602">
        <v>261.82</v>
      </c>
      <c r="I82" s="969">
        <v>0</v>
      </c>
      <c r="J82" s="145">
        <f t="shared" si="44"/>
        <v>4829.2400000000025</v>
      </c>
      <c r="K82" s="379">
        <f t="shared" si="39"/>
        <v>0</v>
      </c>
      <c r="L82" s="526"/>
      <c r="M82" s="526"/>
      <c r="N82" s="121">
        <f t="shared" si="45"/>
        <v>0</v>
      </c>
      <c r="O82" s="546">
        <f t="shared" si="40"/>
        <v>-1092.14</v>
      </c>
      <c r="P82" s="544">
        <v>22.18</v>
      </c>
      <c r="Q82" s="129"/>
      <c r="R82" s="544">
        <f>25.75+29.02</f>
        <v>54.769999999999996</v>
      </c>
      <c r="S82" s="546">
        <f t="shared" si="46"/>
        <v>-1124.73</v>
      </c>
      <c r="T82" s="547">
        <f t="shared" si="47"/>
        <v>54.769999999999996</v>
      </c>
      <c r="U82" s="134">
        <f t="shared" si="48"/>
        <v>0</v>
      </c>
      <c r="V82" s="134">
        <f t="shared" si="49"/>
        <v>0</v>
      </c>
      <c r="W82" s="547">
        <f t="shared" si="50"/>
        <v>54.769999999999996</v>
      </c>
      <c r="X82" s="270">
        <f t="shared" si="51"/>
        <v>33896.07</v>
      </c>
      <c r="Y82" s="270">
        <f>D82+I82+M82+R82</f>
        <v>32917.689999999995</v>
      </c>
      <c r="Z82" s="512">
        <f>D82+R82</f>
        <v>32917.689999999995</v>
      </c>
      <c r="AB82" s="73" t="s">
        <v>54</v>
      </c>
      <c r="AC82" s="8">
        <f t="shared" si="41"/>
        <v>102053.20000000001</v>
      </c>
      <c r="AD82" s="8">
        <f t="shared" si="42"/>
        <v>103747.43</v>
      </c>
      <c r="AE82" s="41"/>
    </row>
    <row r="83" spans="1:31" ht="18.75">
      <c r="A83" s="176" t="s">
        <v>49</v>
      </c>
      <c r="B83" s="146">
        <f t="shared" si="37"/>
        <v>183256.5500000002</v>
      </c>
      <c r="C83" s="78">
        <v>71492.24</v>
      </c>
      <c r="D83" s="78">
        <v>68503.8</v>
      </c>
      <c r="E83" s="78"/>
      <c r="F83" s="541">
        <f t="shared" si="43"/>
        <v>186244.99000000022</v>
      </c>
      <c r="G83" s="974">
        <f t="shared" si="38"/>
        <v>11441.640000000001</v>
      </c>
      <c r="H83" s="602">
        <v>817.26</v>
      </c>
      <c r="I83" s="969">
        <v>0</v>
      </c>
      <c r="J83" s="145">
        <f t="shared" si="44"/>
        <v>12258.900000000001</v>
      </c>
      <c r="K83" s="379">
        <f t="shared" si="39"/>
        <v>3179.050000000003</v>
      </c>
      <c r="L83" s="526">
        <f>3556.3-537.42</f>
        <v>3018.88</v>
      </c>
      <c r="M83" s="526">
        <v>500.32</v>
      </c>
      <c r="N83" s="121">
        <f t="shared" si="45"/>
        <v>5697.610000000003</v>
      </c>
      <c r="O83" s="546">
        <f t="shared" si="40"/>
        <v>-1068.57</v>
      </c>
      <c r="P83" s="544">
        <v>30.76</v>
      </c>
      <c r="Q83" s="129"/>
      <c r="R83" s="544">
        <v>31.87</v>
      </c>
      <c r="S83" s="546">
        <f t="shared" si="46"/>
        <v>-1069.6799999999998</v>
      </c>
      <c r="T83" s="547">
        <f t="shared" si="47"/>
        <v>31.87</v>
      </c>
      <c r="U83" s="134">
        <f t="shared" si="48"/>
        <v>500.32</v>
      </c>
      <c r="V83" s="134">
        <f t="shared" si="49"/>
        <v>0</v>
      </c>
      <c r="W83" s="547">
        <f t="shared" si="50"/>
        <v>532.1899999999999</v>
      </c>
      <c r="X83" s="270">
        <f t="shared" si="51"/>
        <v>75359.14</v>
      </c>
      <c r="Y83" s="270">
        <f t="shared" si="52"/>
        <v>69035.99</v>
      </c>
      <c r="Z83" s="512">
        <f t="shared" si="53"/>
        <v>68535.67</v>
      </c>
      <c r="AB83" s="176" t="s">
        <v>49</v>
      </c>
      <c r="AC83" s="8">
        <f t="shared" si="41"/>
        <v>226647.04000000004</v>
      </c>
      <c r="AD83" s="8">
        <f t="shared" si="42"/>
        <v>215550.66999999998</v>
      </c>
      <c r="AE83" s="41"/>
    </row>
    <row r="84" spans="1:31" ht="18.75">
      <c r="A84" s="176" t="s">
        <v>19</v>
      </c>
      <c r="B84" s="146">
        <f t="shared" si="37"/>
        <v>86262.80999999998</v>
      </c>
      <c r="C84" s="78">
        <v>52752.49</v>
      </c>
      <c r="D84" s="78">
        <v>53476.84</v>
      </c>
      <c r="E84" s="78"/>
      <c r="F84" s="541">
        <f t="shared" si="43"/>
        <v>85538.45999999999</v>
      </c>
      <c r="G84" s="974">
        <f t="shared" si="38"/>
        <v>5399.229999999998</v>
      </c>
      <c r="H84" s="602">
        <v>356.69</v>
      </c>
      <c r="I84" s="969">
        <v>0</v>
      </c>
      <c r="J84" s="145">
        <f t="shared" si="44"/>
        <v>5755.919999999997</v>
      </c>
      <c r="K84" s="379">
        <f t="shared" si="39"/>
        <v>2011.9000000000008</v>
      </c>
      <c r="L84" s="526">
        <v>1284.72</v>
      </c>
      <c r="M84" s="526">
        <v>2380.76</v>
      </c>
      <c r="N84" s="121">
        <f t="shared" si="45"/>
        <v>915.8600000000006</v>
      </c>
      <c r="O84" s="546">
        <f t="shared" si="40"/>
        <v>322.0900000000003</v>
      </c>
      <c r="P84" s="544">
        <v>145.78</v>
      </c>
      <c r="Q84" s="129"/>
      <c r="R84" s="544">
        <v>118.39</v>
      </c>
      <c r="S84" s="546">
        <f t="shared" si="46"/>
        <v>349.48000000000036</v>
      </c>
      <c r="T84" s="547">
        <f t="shared" si="47"/>
        <v>118.39</v>
      </c>
      <c r="U84" s="134">
        <f t="shared" si="48"/>
        <v>2380.76</v>
      </c>
      <c r="V84" s="134">
        <f t="shared" si="49"/>
        <v>0</v>
      </c>
      <c r="W84" s="547">
        <f t="shared" si="50"/>
        <v>2499.15</v>
      </c>
      <c r="X84" s="270">
        <f t="shared" si="51"/>
        <v>54539.68</v>
      </c>
      <c r="Y84" s="270">
        <f t="shared" si="52"/>
        <v>55975.99</v>
      </c>
      <c r="Z84" s="512">
        <f t="shared" si="53"/>
        <v>53595.229999999996</v>
      </c>
      <c r="AB84" s="176" t="s">
        <v>19</v>
      </c>
      <c r="AC84" s="8">
        <f t="shared" si="41"/>
        <v>163705.34</v>
      </c>
      <c r="AD84" s="8">
        <f t="shared" si="42"/>
        <v>167211.33</v>
      </c>
      <c r="AE84" s="41"/>
    </row>
    <row r="85" spans="1:31" ht="18.75">
      <c r="A85" s="177" t="s">
        <v>20</v>
      </c>
      <c r="B85" s="146">
        <f t="shared" si="37"/>
        <v>57912.44000000006</v>
      </c>
      <c r="C85" s="539">
        <v>34274.05</v>
      </c>
      <c r="D85" s="539">
        <v>32757.81</v>
      </c>
      <c r="E85" s="132"/>
      <c r="F85" s="541">
        <f t="shared" si="43"/>
        <v>59428.680000000066</v>
      </c>
      <c r="G85" s="974">
        <f t="shared" si="38"/>
        <v>0</v>
      </c>
      <c r="H85" s="603"/>
      <c r="I85" s="970">
        <v>0</v>
      </c>
      <c r="J85" s="145">
        <f t="shared" si="44"/>
        <v>0</v>
      </c>
      <c r="K85" s="379">
        <f t="shared" si="39"/>
        <v>4455.87</v>
      </c>
      <c r="L85" s="529">
        <v>689</v>
      </c>
      <c r="M85" s="529">
        <v>0</v>
      </c>
      <c r="N85" s="121">
        <f t="shared" si="45"/>
        <v>5144.87</v>
      </c>
      <c r="O85" s="546">
        <f t="shared" si="40"/>
        <v>105.80999999999995</v>
      </c>
      <c r="P85" s="545">
        <v>22.2</v>
      </c>
      <c r="Q85" s="133"/>
      <c r="R85" s="545">
        <v>22.2</v>
      </c>
      <c r="S85" s="546">
        <f t="shared" si="46"/>
        <v>105.80999999999993</v>
      </c>
      <c r="T85" s="547">
        <f t="shared" si="47"/>
        <v>22.2</v>
      </c>
      <c r="U85" s="134">
        <f t="shared" si="48"/>
        <v>0</v>
      </c>
      <c r="V85" s="134">
        <f t="shared" si="49"/>
        <v>0</v>
      </c>
      <c r="W85" s="475">
        <f t="shared" si="50"/>
        <v>22.2</v>
      </c>
      <c r="X85" s="270">
        <f t="shared" si="51"/>
        <v>34985.25</v>
      </c>
      <c r="Y85" s="270">
        <f t="shared" si="52"/>
        <v>32780.01</v>
      </c>
      <c r="Z85" s="512">
        <f t="shared" si="53"/>
        <v>32780.01</v>
      </c>
      <c r="AB85" s="176" t="s">
        <v>20</v>
      </c>
      <c r="AC85" s="8">
        <f t="shared" si="41"/>
        <v>104954.12</v>
      </c>
      <c r="AD85" s="8">
        <f t="shared" si="42"/>
        <v>102320.61000000002</v>
      </c>
      <c r="AE85" s="41"/>
    </row>
    <row r="86" spans="1:31" ht="25.5" customHeight="1">
      <c r="A86" s="391" t="s">
        <v>114</v>
      </c>
      <c r="B86" s="146">
        <f t="shared" si="37"/>
        <v>-430382.53000000044</v>
      </c>
      <c r="C86" s="540">
        <v>41829.72</v>
      </c>
      <c r="D86" s="540">
        <v>38904.83</v>
      </c>
      <c r="E86" s="389"/>
      <c r="F86" s="541">
        <f t="shared" si="43"/>
        <v>-427457.6400000004</v>
      </c>
      <c r="G86" s="974">
        <f t="shared" si="38"/>
        <v>268.71</v>
      </c>
      <c r="H86" s="600">
        <v>268.71</v>
      </c>
      <c r="I86" s="971">
        <v>0</v>
      </c>
      <c r="J86" s="145">
        <f t="shared" si="44"/>
        <v>537.42</v>
      </c>
      <c r="K86" s="379">
        <f t="shared" si="39"/>
        <v>1421.56</v>
      </c>
      <c r="L86" s="964">
        <f>700.23+721.33</f>
        <v>1421.56</v>
      </c>
      <c r="M86" s="529">
        <v>1421.46</v>
      </c>
      <c r="N86" s="121">
        <f t="shared" si="45"/>
        <v>1421.6599999999999</v>
      </c>
      <c r="O86" s="546">
        <f t="shared" si="40"/>
        <v>-3.589999999999989</v>
      </c>
      <c r="P86" s="545">
        <v>59.38</v>
      </c>
      <c r="Q86" s="133"/>
      <c r="R86" s="545">
        <v>69.42</v>
      </c>
      <c r="S86" s="546">
        <f t="shared" si="46"/>
        <v>-13.629999999999988</v>
      </c>
      <c r="T86" s="547">
        <f t="shared" si="47"/>
        <v>69.42</v>
      </c>
      <c r="U86" s="134">
        <f t="shared" si="48"/>
        <v>1421.46</v>
      </c>
      <c r="V86" s="134">
        <f t="shared" si="49"/>
        <v>0</v>
      </c>
      <c r="W86" s="475">
        <f t="shared" si="50"/>
        <v>1490.88</v>
      </c>
      <c r="X86" s="270">
        <f t="shared" si="51"/>
        <v>43579.369999999995</v>
      </c>
      <c r="Y86" s="270">
        <f t="shared" si="52"/>
        <v>40395.71</v>
      </c>
      <c r="Z86" s="512">
        <f t="shared" si="53"/>
        <v>38974.25</v>
      </c>
      <c r="AB86" s="177" t="s">
        <v>114</v>
      </c>
      <c r="AC86" s="8">
        <f t="shared" si="41"/>
        <v>130881.56</v>
      </c>
      <c r="AD86" s="8">
        <f t="shared" si="42"/>
        <v>129697.70999999999</v>
      </c>
      <c r="AE86" s="41"/>
    </row>
    <row r="87" spans="1:31" ht="24.75" customHeight="1">
      <c r="A87" s="392" t="s">
        <v>118</v>
      </c>
      <c r="B87" s="146">
        <f t="shared" si="37"/>
        <v>112415.27000000008</v>
      </c>
      <c r="C87" s="540">
        <v>14903.07</v>
      </c>
      <c r="D87" s="540">
        <v>13435.35</v>
      </c>
      <c r="E87" s="390"/>
      <c r="F87" s="541">
        <f t="shared" si="43"/>
        <v>113882.99000000008</v>
      </c>
      <c r="G87" s="974">
        <f t="shared" si="38"/>
        <v>0</v>
      </c>
      <c r="H87" s="604"/>
      <c r="I87" s="972">
        <v>0</v>
      </c>
      <c r="J87" s="145">
        <f t="shared" si="44"/>
        <v>0</v>
      </c>
      <c r="K87" s="379">
        <f t="shared" si="39"/>
        <v>0</v>
      </c>
      <c r="L87" s="965"/>
      <c r="M87" s="529"/>
      <c r="N87" s="121">
        <f t="shared" si="45"/>
        <v>0</v>
      </c>
      <c r="O87" s="546">
        <f t="shared" si="40"/>
        <v>-0.5599999999999996</v>
      </c>
      <c r="P87" s="545">
        <v>0.29</v>
      </c>
      <c r="Q87" s="133"/>
      <c r="R87" s="545">
        <v>0.29</v>
      </c>
      <c r="S87" s="546">
        <f t="shared" si="46"/>
        <v>-0.5599999999999996</v>
      </c>
      <c r="T87" s="547">
        <f t="shared" si="47"/>
        <v>0.29</v>
      </c>
      <c r="U87" s="134">
        <f t="shared" si="48"/>
        <v>0</v>
      </c>
      <c r="V87" s="134">
        <f t="shared" si="49"/>
        <v>0</v>
      </c>
      <c r="W87" s="475">
        <f t="shared" si="50"/>
        <v>0.29</v>
      </c>
      <c r="X87" s="270">
        <f t="shared" si="51"/>
        <v>14903.36</v>
      </c>
      <c r="Y87" s="270">
        <f t="shared" si="52"/>
        <v>13435.640000000001</v>
      </c>
      <c r="Z87" s="512">
        <f t="shared" si="53"/>
        <v>13435.640000000001</v>
      </c>
      <c r="AB87" s="391" t="s">
        <v>118</v>
      </c>
      <c r="AC87" s="8">
        <f t="shared" si="41"/>
        <v>44717.56</v>
      </c>
      <c r="AD87" s="8">
        <f t="shared" si="42"/>
        <v>40531.33</v>
      </c>
      <c r="AE87" s="41"/>
    </row>
    <row r="88" spans="1:31" ht="24.75" customHeight="1">
      <c r="A88" s="73" t="s">
        <v>188</v>
      </c>
      <c r="B88" s="146">
        <f t="shared" si="37"/>
        <v>45245.85999999994</v>
      </c>
      <c r="C88" s="540">
        <v>39551.25</v>
      </c>
      <c r="D88" s="540">
        <v>58936.55</v>
      </c>
      <c r="E88" s="390"/>
      <c r="F88" s="541">
        <f t="shared" si="43"/>
        <v>25860.55999999994</v>
      </c>
      <c r="G88" s="974">
        <f t="shared" si="38"/>
        <v>2712.54</v>
      </c>
      <c r="H88" s="604">
        <v>338.67</v>
      </c>
      <c r="I88" s="972">
        <v>0</v>
      </c>
      <c r="J88" s="145">
        <f t="shared" si="44"/>
        <v>3051.21</v>
      </c>
      <c r="K88" s="379">
        <f t="shared" si="39"/>
        <v>1470.930000000002</v>
      </c>
      <c r="L88" s="965">
        <f>666.74+359.87+435.13</f>
        <v>1461.7400000000002</v>
      </c>
      <c r="M88" s="529">
        <v>1768.61</v>
      </c>
      <c r="N88" s="121">
        <f t="shared" si="45"/>
        <v>1164.0600000000024</v>
      </c>
      <c r="O88" s="546">
        <f t="shared" si="40"/>
        <v>-10641.51</v>
      </c>
      <c r="P88" s="545">
        <v>82.91</v>
      </c>
      <c r="Q88" s="133"/>
      <c r="R88" s="545">
        <f>145.75+4465.64</f>
        <v>4611.39</v>
      </c>
      <c r="S88" s="546">
        <f t="shared" si="46"/>
        <v>-15169.990000000002</v>
      </c>
      <c r="T88" s="547">
        <f t="shared" si="47"/>
        <v>4611.39</v>
      </c>
      <c r="U88" s="134">
        <f t="shared" si="48"/>
        <v>1768.61</v>
      </c>
      <c r="V88" s="134">
        <f t="shared" si="49"/>
        <v>0</v>
      </c>
      <c r="W88" s="475">
        <f t="shared" si="50"/>
        <v>6380</v>
      </c>
      <c r="X88" s="270">
        <f t="shared" si="51"/>
        <v>41434.57</v>
      </c>
      <c r="Y88" s="270">
        <f t="shared" si="52"/>
        <v>65316.55</v>
      </c>
      <c r="Z88" s="512">
        <f t="shared" si="53"/>
        <v>63547.94</v>
      </c>
      <c r="AB88" s="392" t="s">
        <v>188</v>
      </c>
      <c r="AC88" s="8">
        <f t="shared" si="41"/>
        <v>125894.62</v>
      </c>
      <c r="AD88" s="8">
        <f t="shared" si="42"/>
        <v>224475.83000000002</v>
      </c>
      <c r="AE88" s="41"/>
    </row>
    <row r="89" spans="1:31" ht="24.75" customHeight="1">
      <c r="A89" s="73" t="s">
        <v>189</v>
      </c>
      <c r="B89" s="146">
        <f t="shared" si="37"/>
        <v>202328.63999999996</v>
      </c>
      <c r="C89" s="540">
        <v>45631.94</v>
      </c>
      <c r="D89" s="540">
        <v>78724.38</v>
      </c>
      <c r="E89" s="390"/>
      <c r="F89" s="541">
        <f t="shared" si="43"/>
        <v>169236.19999999995</v>
      </c>
      <c r="G89" s="974">
        <f t="shared" si="38"/>
        <v>8394.14</v>
      </c>
      <c r="H89" s="604">
        <v>2162.4</v>
      </c>
      <c r="I89" s="972">
        <v>0</v>
      </c>
      <c r="J89" s="145">
        <f t="shared" si="44"/>
        <v>10556.539999999999</v>
      </c>
      <c r="K89" s="379">
        <f t="shared" si="39"/>
        <v>-15827.209999999997</v>
      </c>
      <c r="L89" s="965">
        <v>701.19</v>
      </c>
      <c r="M89" s="529">
        <v>0</v>
      </c>
      <c r="N89" s="121">
        <f t="shared" si="45"/>
        <v>-15126.019999999997</v>
      </c>
      <c r="O89" s="546">
        <f t="shared" si="40"/>
        <v>-48262.579999999994</v>
      </c>
      <c r="P89" s="545">
        <v>1288.57</v>
      </c>
      <c r="Q89" s="133"/>
      <c r="R89" s="545">
        <f>1262.3+6422.63</f>
        <v>7684.93</v>
      </c>
      <c r="S89" s="546">
        <f t="shared" si="46"/>
        <v>-54658.939999999995</v>
      </c>
      <c r="T89" s="547">
        <f t="shared" si="47"/>
        <v>7684.93</v>
      </c>
      <c r="U89" s="134">
        <f t="shared" si="48"/>
        <v>0</v>
      </c>
      <c r="V89" s="134">
        <f t="shared" si="49"/>
        <v>0</v>
      </c>
      <c r="W89" s="475">
        <f t="shared" si="50"/>
        <v>7684.93</v>
      </c>
      <c r="X89" s="270">
        <f t="shared" si="51"/>
        <v>49784.100000000006</v>
      </c>
      <c r="Y89" s="270">
        <f t="shared" si="52"/>
        <v>86409.31</v>
      </c>
      <c r="Z89" s="512">
        <f t="shared" si="53"/>
        <v>86409.31</v>
      </c>
      <c r="AB89" s="73" t="s">
        <v>189</v>
      </c>
      <c r="AC89" s="8">
        <f t="shared" si="41"/>
        <v>150657.48</v>
      </c>
      <c r="AD89" s="8">
        <f t="shared" si="42"/>
        <v>251879.21</v>
      </c>
      <c r="AE89" s="41"/>
    </row>
    <row r="90" spans="1:31" ht="24.75" customHeight="1">
      <c r="A90" s="73" t="s">
        <v>218</v>
      </c>
      <c r="B90" s="146">
        <f t="shared" si="37"/>
        <v>156199.88999999998</v>
      </c>
      <c r="C90" s="540">
        <v>42325.8</v>
      </c>
      <c r="D90" s="540">
        <v>46723.62</v>
      </c>
      <c r="E90" s="390"/>
      <c r="F90" s="541">
        <f t="shared" si="43"/>
        <v>151802.07</v>
      </c>
      <c r="G90" s="974">
        <f t="shared" si="38"/>
        <v>0</v>
      </c>
      <c r="H90" s="604"/>
      <c r="I90" s="972">
        <v>0</v>
      </c>
      <c r="J90" s="145">
        <f t="shared" si="44"/>
        <v>0</v>
      </c>
      <c r="K90" s="379">
        <f t="shared" si="39"/>
        <v>-62945.81</v>
      </c>
      <c r="L90" s="965">
        <v>0</v>
      </c>
      <c r="M90" s="529">
        <v>0</v>
      </c>
      <c r="N90" s="121">
        <f t="shared" si="45"/>
        <v>-62945.81</v>
      </c>
      <c r="O90" s="546">
        <f t="shared" si="40"/>
        <v>-65632.17000000001</v>
      </c>
      <c r="P90" s="545">
        <v>77.59</v>
      </c>
      <c r="Q90" s="133"/>
      <c r="R90" s="545">
        <f>74.65+2349.04</f>
        <v>2423.69</v>
      </c>
      <c r="S90" s="546">
        <f t="shared" si="46"/>
        <v>-67978.27000000002</v>
      </c>
      <c r="T90" s="547">
        <f t="shared" si="47"/>
        <v>2423.69</v>
      </c>
      <c r="U90" s="134">
        <f t="shared" si="48"/>
        <v>0</v>
      </c>
      <c r="V90" s="134">
        <f t="shared" si="49"/>
        <v>0</v>
      </c>
      <c r="W90" s="475">
        <f t="shared" si="50"/>
        <v>2423.69</v>
      </c>
      <c r="X90" s="270">
        <f t="shared" si="51"/>
        <v>42403.39</v>
      </c>
      <c r="Y90" s="270">
        <f t="shared" si="52"/>
        <v>49147.310000000005</v>
      </c>
      <c r="Z90" s="512">
        <f t="shared" si="53"/>
        <v>49147.310000000005</v>
      </c>
      <c r="AB90" s="73" t="s">
        <v>218</v>
      </c>
      <c r="AC90" s="8">
        <f t="shared" si="41"/>
        <v>129056.27</v>
      </c>
      <c r="AD90" s="8">
        <f t="shared" si="42"/>
        <v>201149.91999999998</v>
      </c>
      <c r="AE90" s="41"/>
    </row>
    <row r="91" spans="1:31" ht="24.75" customHeight="1">
      <c r="A91" s="73" t="s">
        <v>238</v>
      </c>
      <c r="B91" s="146">
        <f t="shared" si="37"/>
        <v>132830.83000000002</v>
      </c>
      <c r="C91" s="540">
        <v>15747.89</v>
      </c>
      <c r="D91" s="540">
        <v>38632.82</v>
      </c>
      <c r="E91" s="390"/>
      <c r="F91" s="541">
        <f t="shared" si="43"/>
        <v>109945.90000000002</v>
      </c>
      <c r="G91" s="974">
        <f t="shared" si="38"/>
        <v>0</v>
      </c>
      <c r="H91" s="604"/>
      <c r="I91" s="972">
        <v>0</v>
      </c>
      <c r="J91" s="145">
        <f t="shared" si="44"/>
        <v>0</v>
      </c>
      <c r="K91" s="379">
        <f t="shared" si="39"/>
        <v>0</v>
      </c>
      <c r="L91" s="965">
        <v>0</v>
      </c>
      <c r="M91" s="381">
        <v>0</v>
      </c>
      <c r="N91" s="121">
        <f t="shared" si="45"/>
        <v>0</v>
      </c>
      <c r="O91" s="546">
        <f t="shared" si="40"/>
        <v>20609.21</v>
      </c>
      <c r="P91" s="545">
        <v>2.84</v>
      </c>
      <c r="Q91" s="133"/>
      <c r="R91" s="545">
        <f>2.84+3866.12</f>
        <v>3868.96</v>
      </c>
      <c r="S91" s="546">
        <f t="shared" si="46"/>
        <v>16743.09</v>
      </c>
      <c r="T91" s="547">
        <f t="shared" si="47"/>
        <v>3868.96</v>
      </c>
      <c r="U91" s="134">
        <f t="shared" si="48"/>
        <v>0</v>
      </c>
      <c r="V91" s="134">
        <f t="shared" si="49"/>
        <v>0</v>
      </c>
      <c r="W91" s="475">
        <f t="shared" si="50"/>
        <v>3868.96</v>
      </c>
      <c r="X91" s="270">
        <f t="shared" si="51"/>
        <v>15750.73</v>
      </c>
      <c r="Y91" s="270">
        <f t="shared" si="52"/>
        <v>42501.78</v>
      </c>
      <c r="Z91" s="512">
        <f t="shared" si="53"/>
        <v>42501.78</v>
      </c>
      <c r="AB91" s="73" t="s">
        <v>238</v>
      </c>
      <c r="AC91" s="8">
        <f t="shared" si="41"/>
        <v>185690.28</v>
      </c>
      <c r="AD91" s="8">
        <f t="shared" si="42"/>
        <v>59001.28999999999</v>
      </c>
      <c r="AE91" s="41"/>
    </row>
    <row r="92" spans="1:31" ht="25.5" customHeight="1">
      <c r="A92" s="403" t="s">
        <v>127</v>
      </c>
      <c r="B92" s="501">
        <f>SUM(B67:B91)</f>
        <v>2015964.250000002</v>
      </c>
      <c r="C92" s="385">
        <f>SUM(C67:C91)</f>
        <v>837157.41</v>
      </c>
      <c r="D92" s="376">
        <f>SUM(D67:D91)</f>
        <v>899834.52</v>
      </c>
      <c r="E92" s="385"/>
      <c r="F92" s="516">
        <f>SUM(F67:F91)</f>
        <v>1953287.1400000015</v>
      </c>
      <c r="G92" s="516">
        <f>SUM(G67:G91)</f>
        <v>128578.90999999999</v>
      </c>
      <c r="H92" s="665">
        <f>SUM(H67:H91)</f>
        <v>10097.32</v>
      </c>
      <c r="I92" s="973">
        <v>0</v>
      </c>
      <c r="J92" s="516">
        <f>SUM(J67:J87)</f>
        <v>125068.47999999998</v>
      </c>
      <c r="K92" s="387">
        <f aca="true" t="shared" si="54" ref="K92:P92">SUM(K67:K91)</f>
        <v>-63711.21999999999</v>
      </c>
      <c r="L92" s="966">
        <f t="shared" si="54"/>
        <v>23542.640000000003</v>
      </c>
      <c r="M92" s="967">
        <f t="shared" si="54"/>
        <v>17399.37</v>
      </c>
      <c r="N92" s="387">
        <f t="shared" si="54"/>
        <v>-57567.94999999998</v>
      </c>
      <c r="O92" s="475">
        <f t="shared" si="54"/>
        <v>-108319.05000000002</v>
      </c>
      <c r="P92" s="605">
        <f t="shared" si="54"/>
        <v>2716.38</v>
      </c>
      <c r="Q92" s="386"/>
      <c r="R92" s="605">
        <f>SUM(R67:R91)</f>
        <v>19899.9</v>
      </c>
      <c r="S92" s="475">
        <f>SUM(S67:S91)</f>
        <v>-125502.57000000004</v>
      </c>
      <c r="T92" s="516">
        <f>SUM(T67:T91)</f>
        <v>19899.9</v>
      </c>
      <c r="U92" s="388">
        <f>SUM(U67:U91)</f>
        <v>17399.37</v>
      </c>
      <c r="V92" s="386"/>
      <c r="W92" s="516">
        <f>SUM(W67:W91)</f>
        <v>37299.270000000004</v>
      </c>
      <c r="X92" s="372">
        <f>SUM(X67:X91)</f>
        <v>873513.7499999999</v>
      </c>
      <c r="Y92" s="372">
        <f>SUM(Y67:Y91)</f>
        <v>937133.79</v>
      </c>
      <c r="Z92" s="513">
        <f>SUM(Z67:Z91)</f>
        <v>919734.4200000002</v>
      </c>
      <c r="AB92" s="73" t="s">
        <v>263</v>
      </c>
      <c r="AC92" s="976">
        <f>SUM(AC67:AC91)</f>
        <v>2759214.3800000004</v>
      </c>
      <c r="AD92" s="976">
        <f>SUM(AD67:AD91)</f>
        <v>2860593.5</v>
      </c>
      <c r="AE92" s="41"/>
    </row>
    <row r="93" spans="1:32" ht="39.75" customHeight="1" thickBot="1">
      <c r="A93" s="857"/>
      <c r="B93" s="858"/>
      <c r="C93" s="920"/>
      <c r="D93" s="996"/>
      <c r="E93" s="920"/>
      <c r="F93" s="997"/>
      <c r="G93" s="865"/>
      <c r="H93" s="998"/>
      <c r="I93" s="986"/>
      <c r="J93" s="860"/>
      <c r="K93" s="986"/>
      <c r="L93" s="987"/>
      <c r="M93" s="988"/>
      <c r="N93" s="862"/>
      <c r="O93" s="863"/>
      <c r="P93" s="992"/>
      <c r="Q93" s="993"/>
      <c r="R93" s="992"/>
      <c r="S93" s="994"/>
      <c r="T93" s="677"/>
      <c r="U93" s="678"/>
      <c r="V93" s="864"/>
      <c r="W93" s="865"/>
      <c r="X93" s="866"/>
      <c r="Y93" s="866"/>
      <c r="Z93" s="726"/>
      <c r="AA93" s="667"/>
      <c r="AB93" s="867"/>
      <c r="AC93" s="878"/>
      <c r="AD93" s="878"/>
      <c r="AE93" s="550"/>
      <c r="AF93" s="550"/>
    </row>
    <row r="94" spans="1:31" ht="37.5" customHeight="1" thickBot="1">
      <c r="A94" s="400" t="s">
        <v>128</v>
      </c>
      <c r="B94" s="1672" t="s">
        <v>22</v>
      </c>
      <c r="C94" s="1615" t="s">
        <v>2</v>
      </c>
      <c r="D94" s="1616"/>
      <c r="E94" s="1616"/>
      <c r="F94" s="1617"/>
      <c r="G94" s="1615" t="s">
        <v>3</v>
      </c>
      <c r="H94" s="1616"/>
      <c r="I94" s="1617"/>
      <c r="J94" s="384"/>
      <c r="K94" s="1628" t="s">
        <v>4</v>
      </c>
      <c r="L94" s="1629"/>
      <c r="M94" s="1630"/>
      <c r="N94" s="979"/>
      <c r="O94" s="978"/>
      <c r="P94" s="1625" t="s">
        <v>74</v>
      </c>
      <c r="Q94" s="1626"/>
      <c r="R94" s="1626"/>
      <c r="S94" s="1627"/>
      <c r="T94" s="991" t="s">
        <v>67</v>
      </c>
      <c r="U94" s="868" t="s">
        <v>69</v>
      </c>
      <c r="V94" s="869" t="s">
        <v>71</v>
      </c>
      <c r="W94" s="870" t="s">
        <v>84</v>
      </c>
      <c r="X94" s="1604" t="s">
        <v>283</v>
      </c>
      <c r="Y94" s="1604"/>
      <c r="Z94" s="1604"/>
      <c r="AA94" s="1604"/>
      <c r="AB94" s="41"/>
      <c r="AC94" s="8"/>
      <c r="AD94" s="8"/>
      <c r="AE94" s="41"/>
    </row>
    <row r="95" spans="1:31" ht="46.5" customHeight="1" thickBot="1">
      <c r="A95" s="405" t="s">
        <v>1</v>
      </c>
      <c r="B95" s="1673"/>
      <c r="C95" s="402" t="s">
        <v>5</v>
      </c>
      <c r="D95" s="136" t="s">
        <v>6</v>
      </c>
      <c r="E95" s="136"/>
      <c r="F95" s="136" t="s">
        <v>7</v>
      </c>
      <c r="G95" s="999" t="s">
        <v>22</v>
      </c>
      <c r="H95" s="137" t="s">
        <v>5</v>
      </c>
      <c r="I95" s="137" t="s">
        <v>6</v>
      </c>
      <c r="J95" s="138" t="s">
        <v>7</v>
      </c>
      <c r="K95" s="989" t="s">
        <v>22</v>
      </c>
      <c r="L95" s="990" t="s">
        <v>5</v>
      </c>
      <c r="M95" s="990" t="s">
        <v>6</v>
      </c>
      <c r="N95" s="181" t="s">
        <v>7</v>
      </c>
      <c r="O95" s="139" t="s">
        <v>22</v>
      </c>
      <c r="P95" s="995" t="s">
        <v>33</v>
      </c>
      <c r="Q95" s="995" t="s">
        <v>64</v>
      </c>
      <c r="R95" s="995" t="s">
        <v>6</v>
      </c>
      <c r="S95" s="140" t="s">
        <v>7</v>
      </c>
      <c r="T95" s="229" t="s">
        <v>68</v>
      </c>
      <c r="U95" s="230" t="s">
        <v>70</v>
      </c>
      <c r="V95" s="231" t="s">
        <v>70</v>
      </c>
      <c r="W95" s="232" t="s">
        <v>83</v>
      </c>
      <c r="X95" s="190" t="s">
        <v>81</v>
      </c>
      <c r="Y95" s="182" t="s">
        <v>69</v>
      </c>
      <c r="Z95" s="191" t="s">
        <v>82</v>
      </c>
      <c r="AA95" s="616" t="s">
        <v>168</v>
      </c>
      <c r="AB95" s="619" t="s">
        <v>169</v>
      </c>
      <c r="AC95" s="617" t="s">
        <v>106</v>
      </c>
      <c r="AD95" s="239" t="s">
        <v>107</v>
      </c>
      <c r="AE95" s="613" t="s">
        <v>151</v>
      </c>
    </row>
    <row r="96" spans="1:31" ht="20.25">
      <c r="A96" s="686" t="s">
        <v>47</v>
      </c>
      <c r="B96" s="118">
        <f aca="true" t="shared" si="55" ref="B96:B120">F67</f>
        <v>119047.62999999996</v>
      </c>
      <c r="C96" s="679">
        <v>13336.39</v>
      </c>
      <c r="D96" s="679">
        <v>13596.02</v>
      </c>
      <c r="E96" s="77"/>
      <c r="F96" s="118">
        <f>B96+C96-D96</f>
        <v>118787.99999999996</v>
      </c>
      <c r="G96" s="145">
        <f aca="true" t="shared" si="56" ref="G96:G120">J67</f>
        <v>20104.489999999987</v>
      </c>
      <c r="H96" s="601">
        <v>1334.01</v>
      </c>
      <c r="I96" s="173">
        <v>0</v>
      </c>
      <c r="J96" s="145">
        <f>G96+H96-I96</f>
        <v>21438.499999999985</v>
      </c>
      <c r="K96" s="126">
        <f aca="true" t="shared" si="57" ref="K96:K120">N67</f>
        <v>-1093.3899999999994</v>
      </c>
      <c r="L96" s="526">
        <v>4271.8</v>
      </c>
      <c r="M96" s="692">
        <v>8543.6</v>
      </c>
      <c r="N96" s="126">
        <f>K96+L96-M96</f>
        <v>-5365.19</v>
      </c>
      <c r="O96" s="155">
        <f aca="true" t="shared" si="58" ref="O96:O120">S67</f>
        <v>-1521.39</v>
      </c>
      <c r="P96" s="984">
        <v>222.95</v>
      </c>
      <c r="Q96" s="170"/>
      <c r="R96" s="679">
        <v>226.48</v>
      </c>
      <c r="S96" s="234">
        <f>O96+P96-R96</f>
        <v>-1524.92</v>
      </c>
      <c r="T96" s="235">
        <f>R96</f>
        <v>226.48</v>
      </c>
      <c r="U96" s="92">
        <f>M96</f>
        <v>8543.6</v>
      </c>
      <c r="V96" s="92">
        <f>I96</f>
        <v>0</v>
      </c>
      <c r="W96" s="233">
        <f>T96+U96+V96</f>
        <v>8770.08</v>
      </c>
      <c r="X96" s="609">
        <f aca="true" t="shared" si="59" ref="X96:X120">U38+T67+T96</f>
        <v>280.71999999999997</v>
      </c>
      <c r="Y96" s="610">
        <f>V38+U67+U96</f>
        <v>12815.400000000001</v>
      </c>
      <c r="Z96" s="610">
        <f aca="true" t="shared" si="60" ref="Z96:Z120">W38+V67+V96</f>
        <v>0</v>
      </c>
      <c r="AA96" s="615">
        <f>X96+Y96+Z96</f>
        <v>13096.12</v>
      </c>
      <c r="AB96" s="620">
        <f>Y96+Z96</f>
        <v>12815.400000000001</v>
      </c>
      <c r="AC96" s="618">
        <f>C96+H96+L96+P96</f>
        <v>19165.15</v>
      </c>
      <c r="AD96" s="270">
        <f>D96+I96+M96+R96</f>
        <v>22366.100000000002</v>
      </c>
      <c r="AE96" s="614">
        <f>D96+R96</f>
        <v>13822.5</v>
      </c>
    </row>
    <row r="97" spans="1:31" ht="20.25">
      <c r="A97" s="687" t="s">
        <v>53</v>
      </c>
      <c r="B97" s="118">
        <f t="shared" si="55"/>
        <v>144474.5900000002</v>
      </c>
      <c r="C97" s="679">
        <v>29755.07</v>
      </c>
      <c r="D97" s="679">
        <v>30225.08</v>
      </c>
      <c r="E97" s="77"/>
      <c r="F97" s="118">
        <f aca="true" t="shared" si="61" ref="F97:F120">B97+C97-D97</f>
        <v>144004.5800000002</v>
      </c>
      <c r="G97" s="145">
        <f t="shared" si="56"/>
        <v>614.9399999999997</v>
      </c>
      <c r="H97" s="601">
        <v>258.4</v>
      </c>
      <c r="I97" s="173">
        <v>0</v>
      </c>
      <c r="J97" s="145">
        <f aca="true" t="shared" si="62" ref="J97:J120">G97+H97-I97</f>
        <v>873.3399999999997</v>
      </c>
      <c r="K97" s="126">
        <f t="shared" si="57"/>
        <v>-3502.6199999999994</v>
      </c>
      <c r="L97" s="526">
        <v>120.78</v>
      </c>
      <c r="M97" s="692">
        <v>0</v>
      </c>
      <c r="N97" s="126">
        <f aca="true" t="shared" si="63" ref="N97:N120">K97+L97-M97</f>
        <v>-3381.8399999999992</v>
      </c>
      <c r="O97" s="155">
        <f t="shared" si="58"/>
        <v>192.37</v>
      </c>
      <c r="P97" s="985">
        <v>358.1</v>
      </c>
      <c r="Q97" s="99"/>
      <c r="R97" s="682">
        <v>158.16</v>
      </c>
      <c r="S97" s="234">
        <f aca="true" t="shared" si="64" ref="S97:S120">O97+P97-R97</f>
        <v>392.31000000000006</v>
      </c>
      <c r="T97" s="235">
        <f aca="true" t="shared" si="65" ref="T97:T120">R97</f>
        <v>158.16</v>
      </c>
      <c r="U97" s="92">
        <f aca="true" t="shared" si="66" ref="U97:U120">M97</f>
        <v>0</v>
      </c>
      <c r="V97" s="92">
        <f aca="true" t="shared" si="67" ref="V97:V120">I97</f>
        <v>0</v>
      </c>
      <c r="W97" s="233">
        <f aca="true" t="shared" si="68" ref="W97:W120">T97+U97+V97</f>
        <v>158.16</v>
      </c>
      <c r="X97" s="611">
        <f t="shared" si="59"/>
        <v>255.22</v>
      </c>
      <c r="Y97" s="610">
        <f aca="true" t="shared" si="69" ref="Y97:Y120">V39+U68+U97</f>
        <v>120.78</v>
      </c>
      <c r="Z97" s="612">
        <f t="shared" si="60"/>
        <v>0</v>
      </c>
      <c r="AA97" s="476">
        <f aca="true" t="shared" si="70" ref="AA97:AA120">X97+Y97+Z97</f>
        <v>376</v>
      </c>
      <c r="AB97" s="620">
        <f aca="true" t="shared" si="71" ref="AB97:AB121">Y97+Z97</f>
        <v>120.78</v>
      </c>
      <c r="AC97" s="618">
        <f aca="true" t="shared" si="72" ref="AC97:AC120">C97+H97+L97+P97</f>
        <v>30492.35</v>
      </c>
      <c r="AD97" s="270">
        <f aca="true" t="shared" si="73" ref="AD97:AD120">D97+I97+M97+R97</f>
        <v>30383.24</v>
      </c>
      <c r="AE97" s="614">
        <f aca="true" t="shared" si="74" ref="AE97:AE120">D97+R97</f>
        <v>30383.24</v>
      </c>
    </row>
    <row r="98" spans="1:31" ht="20.25">
      <c r="A98" s="192" t="s">
        <v>8</v>
      </c>
      <c r="B98" s="118">
        <f t="shared" si="55"/>
        <v>74445.62</v>
      </c>
      <c r="C98" s="74"/>
      <c r="D98" s="144"/>
      <c r="E98" s="74"/>
      <c r="F98" s="118">
        <f t="shared" si="61"/>
        <v>74445.62</v>
      </c>
      <c r="G98" s="145">
        <f t="shared" si="56"/>
        <v>0</v>
      </c>
      <c r="H98" s="602"/>
      <c r="I98" s="82">
        <v>0</v>
      </c>
      <c r="J98" s="145">
        <f t="shared" si="62"/>
        <v>0</v>
      </c>
      <c r="K98" s="126">
        <f t="shared" si="57"/>
        <v>0</v>
      </c>
      <c r="L98" s="526"/>
      <c r="M98" s="692"/>
      <c r="N98" s="126">
        <f t="shared" si="63"/>
        <v>0</v>
      </c>
      <c r="O98" s="155">
        <f t="shared" si="58"/>
        <v>0</v>
      </c>
      <c r="P98" s="681"/>
      <c r="Q98" s="171"/>
      <c r="R98" s="683"/>
      <c r="S98" s="234">
        <f t="shared" si="64"/>
        <v>0</v>
      </c>
      <c r="T98" s="235">
        <f t="shared" si="65"/>
        <v>0</v>
      </c>
      <c r="U98" s="92">
        <f t="shared" si="66"/>
        <v>0</v>
      </c>
      <c r="V98" s="92">
        <f t="shared" si="67"/>
        <v>0</v>
      </c>
      <c r="W98" s="233">
        <f t="shared" si="68"/>
        <v>0</v>
      </c>
      <c r="X98" s="611">
        <f t="shared" si="59"/>
        <v>0</v>
      </c>
      <c r="Y98" s="610">
        <f t="shared" si="69"/>
        <v>0</v>
      </c>
      <c r="Z98" s="612">
        <f t="shared" si="60"/>
        <v>0</v>
      </c>
      <c r="AA98" s="476">
        <f t="shared" si="70"/>
        <v>0</v>
      </c>
      <c r="AB98" s="620">
        <f t="shared" si="71"/>
        <v>0</v>
      </c>
      <c r="AC98" s="618">
        <f t="shared" si="72"/>
        <v>0</v>
      </c>
      <c r="AD98" s="270">
        <f t="shared" si="73"/>
        <v>0</v>
      </c>
      <c r="AE98" s="614">
        <f t="shared" si="74"/>
        <v>0</v>
      </c>
    </row>
    <row r="99" spans="1:31" ht="20.25">
      <c r="A99" s="687" t="s">
        <v>48</v>
      </c>
      <c r="B99" s="118">
        <f t="shared" si="55"/>
        <v>348841.1600000002</v>
      </c>
      <c r="C99" s="144">
        <v>72126.15</v>
      </c>
      <c r="D99" s="144">
        <v>76593.54</v>
      </c>
      <c r="E99" s="74"/>
      <c r="F99" s="118">
        <f t="shared" si="61"/>
        <v>344373.7700000002</v>
      </c>
      <c r="G99" s="145">
        <f t="shared" si="56"/>
        <v>26001.269999999993</v>
      </c>
      <c r="H99" s="602">
        <v>1241.79</v>
      </c>
      <c r="I99" s="82">
        <v>0</v>
      </c>
      <c r="J99" s="145">
        <f t="shared" si="62"/>
        <v>27243.059999999994</v>
      </c>
      <c r="K99" s="126">
        <f t="shared" si="57"/>
        <v>316.870000000001</v>
      </c>
      <c r="L99" s="526">
        <f>1653.07+242.74</f>
        <v>1895.81</v>
      </c>
      <c r="M99" s="692">
        <v>2455.49</v>
      </c>
      <c r="N99" s="126">
        <f t="shared" si="63"/>
        <v>-242.80999999999858</v>
      </c>
      <c r="O99" s="155">
        <f t="shared" si="58"/>
        <v>-2410.9899999999993</v>
      </c>
      <c r="P99" s="144">
        <v>612.38</v>
      </c>
      <c r="Q99" s="78"/>
      <c r="R99" s="144">
        <v>630.62</v>
      </c>
      <c r="S99" s="234">
        <f t="shared" si="64"/>
        <v>-2429.229999999999</v>
      </c>
      <c r="T99" s="235">
        <f t="shared" si="65"/>
        <v>630.62</v>
      </c>
      <c r="U99" s="92">
        <f t="shared" si="66"/>
        <v>2455.49</v>
      </c>
      <c r="V99" s="92">
        <f t="shared" si="67"/>
        <v>0</v>
      </c>
      <c r="W99" s="233">
        <f t="shared" si="68"/>
        <v>3086.1099999999997</v>
      </c>
      <c r="X99" s="611">
        <f t="shared" si="59"/>
        <v>903.45</v>
      </c>
      <c r="Y99" s="610">
        <f t="shared" si="69"/>
        <v>4034.3599999999997</v>
      </c>
      <c r="Z99" s="612">
        <f t="shared" si="60"/>
        <v>0</v>
      </c>
      <c r="AA99" s="476">
        <f t="shared" si="70"/>
        <v>4937.8099999999995</v>
      </c>
      <c r="AB99" s="620">
        <f t="shared" si="71"/>
        <v>4034.3599999999997</v>
      </c>
      <c r="AC99" s="618">
        <f t="shared" si="72"/>
        <v>75876.12999999999</v>
      </c>
      <c r="AD99" s="270">
        <f t="shared" si="73"/>
        <v>79679.65</v>
      </c>
      <c r="AE99" s="614">
        <f t="shared" si="74"/>
        <v>77224.15999999999</v>
      </c>
    </row>
    <row r="100" spans="1:31" ht="20.25">
      <c r="A100" s="175" t="s">
        <v>9</v>
      </c>
      <c r="B100" s="118">
        <f t="shared" si="55"/>
        <v>124330.53000000009</v>
      </c>
      <c r="C100" s="144">
        <v>17857.29</v>
      </c>
      <c r="D100" s="144">
        <v>19761.35</v>
      </c>
      <c r="E100" s="74"/>
      <c r="F100" s="118">
        <f t="shared" si="61"/>
        <v>122426.47000000009</v>
      </c>
      <c r="G100" s="145">
        <f t="shared" si="56"/>
        <v>30955.18</v>
      </c>
      <c r="H100" s="602">
        <f>1527.99+99.64</f>
        <v>1627.63</v>
      </c>
      <c r="I100" s="82">
        <v>0</v>
      </c>
      <c r="J100" s="145">
        <f t="shared" si="62"/>
        <v>32582.81</v>
      </c>
      <c r="K100" s="126">
        <f t="shared" si="57"/>
        <v>0</v>
      </c>
      <c r="L100" s="526"/>
      <c r="M100" s="692"/>
      <c r="N100" s="126">
        <f t="shared" si="63"/>
        <v>0</v>
      </c>
      <c r="O100" s="155">
        <f t="shared" si="58"/>
        <v>129.58999999999986</v>
      </c>
      <c r="P100" s="144">
        <v>433.27</v>
      </c>
      <c r="Q100" s="78"/>
      <c r="R100" s="144">
        <v>411.53</v>
      </c>
      <c r="S100" s="234">
        <f t="shared" si="64"/>
        <v>151.32999999999993</v>
      </c>
      <c r="T100" s="235">
        <f t="shared" si="65"/>
        <v>411.53</v>
      </c>
      <c r="U100" s="92">
        <f t="shared" si="66"/>
        <v>0</v>
      </c>
      <c r="V100" s="92">
        <f t="shared" si="67"/>
        <v>0</v>
      </c>
      <c r="W100" s="233">
        <f t="shared" si="68"/>
        <v>411.53</v>
      </c>
      <c r="X100" s="611">
        <f t="shared" si="59"/>
        <v>653.8199999999999</v>
      </c>
      <c r="Y100" s="610">
        <f t="shared" si="69"/>
        <v>0</v>
      </c>
      <c r="Z100" s="612">
        <f t="shared" si="60"/>
        <v>0</v>
      </c>
      <c r="AA100" s="476">
        <f t="shared" si="70"/>
        <v>653.8199999999999</v>
      </c>
      <c r="AB100" s="620">
        <f t="shared" si="71"/>
        <v>0</v>
      </c>
      <c r="AC100" s="618">
        <f t="shared" si="72"/>
        <v>19918.190000000002</v>
      </c>
      <c r="AD100" s="270">
        <f t="shared" si="73"/>
        <v>20172.879999999997</v>
      </c>
      <c r="AE100" s="614">
        <f t="shared" si="74"/>
        <v>20172.879999999997</v>
      </c>
    </row>
    <row r="101" spans="1:31" ht="20.25">
      <c r="A101" s="687" t="s">
        <v>10</v>
      </c>
      <c r="B101" s="118">
        <f t="shared" si="55"/>
        <v>12042.790000000085</v>
      </c>
      <c r="C101" s="144">
        <v>7795.77</v>
      </c>
      <c r="D101" s="144">
        <v>10178.81</v>
      </c>
      <c r="E101" s="74"/>
      <c r="F101" s="118">
        <f t="shared" si="61"/>
        <v>9659.750000000085</v>
      </c>
      <c r="G101" s="145">
        <f t="shared" si="56"/>
        <v>0</v>
      </c>
      <c r="H101" s="602"/>
      <c r="I101" s="82">
        <v>0</v>
      </c>
      <c r="J101" s="145">
        <f t="shared" si="62"/>
        <v>0</v>
      </c>
      <c r="K101" s="126">
        <f t="shared" si="57"/>
        <v>0</v>
      </c>
      <c r="L101" s="526"/>
      <c r="M101" s="692"/>
      <c r="N101" s="126">
        <f t="shared" si="63"/>
        <v>0</v>
      </c>
      <c r="O101" s="155">
        <f t="shared" si="58"/>
        <v>0.779999999999994</v>
      </c>
      <c r="P101" s="144">
        <v>115.42</v>
      </c>
      <c r="Q101" s="78"/>
      <c r="R101" s="144">
        <v>115.42</v>
      </c>
      <c r="S101" s="234">
        <f t="shared" si="64"/>
        <v>0.7799999999999869</v>
      </c>
      <c r="T101" s="235">
        <f t="shared" si="65"/>
        <v>115.42</v>
      </c>
      <c r="U101" s="92">
        <f t="shared" si="66"/>
        <v>0</v>
      </c>
      <c r="V101" s="92">
        <f t="shared" si="67"/>
        <v>0</v>
      </c>
      <c r="W101" s="233">
        <f t="shared" si="68"/>
        <v>115.42</v>
      </c>
      <c r="X101" s="611">
        <f t="shared" si="59"/>
        <v>169.13</v>
      </c>
      <c r="Y101" s="610">
        <f t="shared" si="69"/>
        <v>0</v>
      </c>
      <c r="Z101" s="612">
        <f t="shared" si="60"/>
        <v>0</v>
      </c>
      <c r="AA101" s="476">
        <f t="shared" si="70"/>
        <v>169.13</v>
      </c>
      <c r="AB101" s="620">
        <f t="shared" si="71"/>
        <v>0</v>
      </c>
      <c r="AC101" s="618">
        <f t="shared" si="72"/>
        <v>7911.1900000000005</v>
      </c>
      <c r="AD101" s="270">
        <f t="shared" si="73"/>
        <v>10294.23</v>
      </c>
      <c r="AE101" s="614">
        <f t="shared" si="74"/>
        <v>10294.23</v>
      </c>
    </row>
    <row r="102" spans="1:31" ht="20.25">
      <c r="A102" s="687" t="s">
        <v>11</v>
      </c>
      <c r="B102" s="118">
        <f t="shared" si="55"/>
        <v>7983.10000000004</v>
      </c>
      <c r="C102" s="144">
        <v>7768.21</v>
      </c>
      <c r="D102" s="144">
        <v>7547.03</v>
      </c>
      <c r="E102" s="74"/>
      <c r="F102" s="118">
        <f t="shared" si="61"/>
        <v>8204.280000000042</v>
      </c>
      <c r="G102" s="145">
        <f t="shared" si="56"/>
        <v>0</v>
      </c>
      <c r="H102" s="602"/>
      <c r="I102" s="82">
        <v>0</v>
      </c>
      <c r="J102" s="145">
        <f t="shared" si="62"/>
        <v>0</v>
      </c>
      <c r="K102" s="126">
        <f t="shared" si="57"/>
        <v>0</v>
      </c>
      <c r="L102" s="526"/>
      <c r="M102" s="692"/>
      <c r="N102" s="126">
        <f t="shared" si="63"/>
        <v>0</v>
      </c>
      <c r="O102" s="155">
        <f t="shared" si="58"/>
        <v>41.53</v>
      </c>
      <c r="P102" s="144">
        <v>1.25</v>
      </c>
      <c r="Q102" s="78"/>
      <c r="R102" s="144">
        <v>1.36</v>
      </c>
      <c r="S102" s="234">
        <f t="shared" si="64"/>
        <v>41.42</v>
      </c>
      <c r="T102" s="235">
        <f t="shared" si="65"/>
        <v>1.36</v>
      </c>
      <c r="U102" s="92">
        <f t="shared" si="66"/>
        <v>0</v>
      </c>
      <c r="V102" s="92">
        <f t="shared" si="67"/>
        <v>0</v>
      </c>
      <c r="W102" s="233">
        <f t="shared" si="68"/>
        <v>1.36</v>
      </c>
      <c r="X102" s="611">
        <f t="shared" si="59"/>
        <v>60.17</v>
      </c>
      <c r="Y102" s="610">
        <f t="shared" si="69"/>
        <v>0</v>
      </c>
      <c r="Z102" s="612">
        <f t="shared" si="60"/>
        <v>0</v>
      </c>
      <c r="AA102" s="476">
        <f t="shared" si="70"/>
        <v>60.17</v>
      </c>
      <c r="AB102" s="620">
        <f t="shared" si="71"/>
        <v>0</v>
      </c>
      <c r="AC102" s="618">
        <f t="shared" si="72"/>
        <v>7769.46</v>
      </c>
      <c r="AD102" s="270">
        <f t="shared" si="73"/>
        <v>7548.389999999999</v>
      </c>
      <c r="AE102" s="614">
        <f t="shared" si="74"/>
        <v>7548.389999999999</v>
      </c>
    </row>
    <row r="103" spans="1:31" ht="20.25">
      <c r="A103" s="687" t="s">
        <v>12</v>
      </c>
      <c r="B103" s="118">
        <f t="shared" si="55"/>
        <v>83068.32000000021</v>
      </c>
      <c r="C103" s="144">
        <v>44459.32</v>
      </c>
      <c r="D103" s="144">
        <v>40133.74</v>
      </c>
      <c r="E103" s="74"/>
      <c r="F103" s="118">
        <f t="shared" si="61"/>
        <v>87393.90000000023</v>
      </c>
      <c r="G103" s="145">
        <f t="shared" si="56"/>
        <v>7759.199999999995</v>
      </c>
      <c r="H103" s="602">
        <v>517.28</v>
      </c>
      <c r="I103" s="82">
        <v>0</v>
      </c>
      <c r="J103" s="145">
        <f t="shared" si="62"/>
        <v>8276.479999999996</v>
      </c>
      <c r="K103" s="126">
        <f t="shared" si="57"/>
        <v>1508.3999999999987</v>
      </c>
      <c r="L103" s="526">
        <v>1526.4</v>
      </c>
      <c r="M103" s="692">
        <v>1526.4</v>
      </c>
      <c r="N103" s="126">
        <f t="shared" si="63"/>
        <v>1508.3999999999987</v>
      </c>
      <c r="O103" s="155">
        <f t="shared" si="58"/>
        <v>385.56</v>
      </c>
      <c r="P103" s="144">
        <v>76.02</v>
      </c>
      <c r="Q103" s="78"/>
      <c r="R103" s="144">
        <v>68.99</v>
      </c>
      <c r="S103" s="234">
        <f t="shared" si="64"/>
        <v>392.59</v>
      </c>
      <c r="T103" s="235">
        <f t="shared" si="65"/>
        <v>68.99</v>
      </c>
      <c r="U103" s="92">
        <f t="shared" si="66"/>
        <v>1526.4</v>
      </c>
      <c r="V103" s="92">
        <f t="shared" si="67"/>
        <v>0</v>
      </c>
      <c r="W103" s="233">
        <f t="shared" si="68"/>
        <v>1595.39</v>
      </c>
      <c r="X103" s="611">
        <f t="shared" si="59"/>
        <v>338.22</v>
      </c>
      <c r="Y103" s="610">
        <f>V45+U74+U103</f>
        <v>4579.200000000001</v>
      </c>
      <c r="Z103" s="612">
        <f t="shared" si="60"/>
        <v>0</v>
      </c>
      <c r="AA103" s="476">
        <f t="shared" si="70"/>
        <v>4917.420000000001</v>
      </c>
      <c r="AB103" s="620">
        <f t="shared" si="71"/>
        <v>4579.200000000001</v>
      </c>
      <c r="AC103" s="618">
        <f t="shared" si="72"/>
        <v>46579.02</v>
      </c>
      <c r="AD103" s="270">
        <f t="shared" si="73"/>
        <v>41729.13</v>
      </c>
      <c r="AE103" s="614">
        <f t="shared" si="74"/>
        <v>40202.729999999996</v>
      </c>
    </row>
    <row r="104" spans="1:31" ht="20.25">
      <c r="A104" s="687" t="s">
        <v>13</v>
      </c>
      <c r="B104" s="118">
        <f t="shared" si="55"/>
        <v>49583.24000000002</v>
      </c>
      <c r="C104" s="144">
        <v>26273.16</v>
      </c>
      <c r="D104" s="680">
        <v>27233.68</v>
      </c>
      <c r="E104" s="74"/>
      <c r="F104" s="118">
        <f t="shared" si="61"/>
        <v>48622.72000000002</v>
      </c>
      <c r="G104" s="145">
        <f t="shared" si="56"/>
        <v>2789.9199999999987</v>
      </c>
      <c r="H104" s="602">
        <v>174.37</v>
      </c>
      <c r="I104" s="82">
        <v>0</v>
      </c>
      <c r="J104" s="145">
        <f t="shared" si="62"/>
        <v>2964.2899999999986</v>
      </c>
      <c r="K104" s="126">
        <f t="shared" si="57"/>
        <v>-1645.01</v>
      </c>
      <c r="L104" s="526">
        <v>645.01</v>
      </c>
      <c r="M104" s="692">
        <v>1290.02</v>
      </c>
      <c r="N104" s="126">
        <f t="shared" si="63"/>
        <v>-2290.02</v>
      </c>
      <c r="O104" s="155">
        <f t="shared" si="58"/>
        <v>74.7000000000001</v>
      </c>
      <c r="P104" s="144">
        <v>167.14</v>
      </c>
      <c r="Q104" s="78"/>
      <c r="R104" s="144">
        <v>162.17</v>
      </c>
      <c r="S104" s="234">
        <f t="shared" si="64"/>
        <v>79.6700000000001</v>
      </c>
      <c r="T104" s="235">
        <f t="shared" si="65"/>
        <v>162.17</v>
      </c>
      <c r="U104" s="92">
        <f t="shared" si="66"/>
        <v>1290.02</v>
      </c>
      <c r="V104" s="92">
        <f t="shared" si="67"/>
        <v>0</v>
      </c>
      <c r="W104" s="233">
        <f t="shared" si="68"/>
        <v>1452.19</v>
      </c>
      <c r="X104" s="611">
        <f t="shared" si="59"/>
        <v>219.65999999999997</v>
      </c>
      <c r="Y104" s="610">
        <f t="shared" si="69"/>
        <v>1935.03</v>
      </c>
      <c r="Z104" s="612">
        <f t="shared" si="60"/>
        <v>0</v>
      </c>
      <c r="AA104" s="476">
        <f t="shared" si="70"/>
        <v>2154.69</v>
      </c>
      <c r="AB104" s="620">
        <f t="shared" si="71"/>
        <v>1935.03</v>
      </c>
      <c r="AC104" s="618">
        <f t="shared" si="72"/>
        <v>27259.679999999997</v>
      </c>
      <c r="AD104" s="270">
        <f t="shared" si="73"/>
        <v>28685.87</v>
      </c>
      <c r="AE104" s="614">
        <f t="shared" si="74"/>
        <v>27395.85</v>
      </c>
    </row>
    <row r="105" spans="1:31" ht="20.25">
      <c r="A105" s="687" t="s">
        <v>14</v>
      </c>
      <c r="B105" s="118">
        <f t="shared" si="55"/>
        <v>56039.58000000006</v>
      </c>
      <c r="C105" s="144">
        <v>32415.33</v>
      </c>
      <c r="D105" s="144">
        <v>34666.89</v>
      </c>
      <c r="E105" s="74"/>
      <c r="F105" s="118">
        <f t="shared" si="61"/>
        <v>53788.02000000006</v>
      </c>
      <c r="G105" s="145">
        <f t="shared" si="56"/>
        <v>4314.199999999999</v>
      </c>
      <c r="H105" s="602">
        <v>184.44</v>
      </c>
      <c r="I105" s="82">
        <v>0</v>
      </c>
      <c r="J105" s="145">
        <f t="shared" si="62"/>
        <v>4498.6399999999985</v>
      </c>
      <c r="K105" s="126">
        <f t="shared" si="57"/>
        <v>5637.439999999999</v>
      </c>
      <c r="L105" s="526">
        <v>2408.85</v>
      </c>
      <c r="M105" s="692">
        <v>3424.86</v>
      </c>
      <c r="N105" s="126">
        <f t="shared" si="63"/>
        <v>4621.4299999999985</v>
      </c>
      <c r="O105" s="155">
        <f t="shared" si="58"/>
        <v>-407.81</v>
      </c>
      <c r="P105" s="144">
        <v>23.05</v>
      </c>
      <c r="Q105" s="78"/>
      <c r="R105" s="144">
        <v>22.98</v>
      </c>
      <c r="S105" s="234">
        <f t="shared" si="64"/>
        <v>-407.74</v>
      </c>
      <c r="T105" s="235">
        <f t="shared" si="65"/>
        <v>22.98</v>
      </c>
      <c r="U105" s="92">
        <f t="shared" si="66"/>
        <v>3424.86</v>
      </c>
      <c r="V105" s="92">
        <f t="shared" si="67"/>
        <v>0</v>
      </c>
      <c r="W105" s="233">
        <f t="shared" si="68"/>
        <v>3447.84</v>
      </c>
      <c r="X105" s="611">
        <f t="shared" si="59"/>
        <v>142.13</v>
      </c>
      <c r="Y105" s="610">
        <f t="shared" si="69"/>
        <v>6163.9</v>
      </c>
      <c r="Z105" s="612">
        <f t="shared" si="60"/>
        <v>0</v>
      </c>
      <c r="AA105" s="476">
        <f t="shared" si="70"/>
        <v>6306.03</v>
      </c>
      <c r="AB105" s="620">
        <f t="shared" si="71"/>
        <v>6163.9</v>
      </c>
      <c r="AC105" s="618">
        <f t="shared" si="72"/>
        <v>35031.670000000006</v>
      </c>
      <c r="AD105" s="270">
        <f t="shared" si="73"/>
        <v>38114.73</v>
      </c>
      <c r="AE105" s="614">
        <f t="shared" si="74"/>
        <v>34689.87</v>
      </c>
    </row>
    <row r="106" spans="1:31" ht="20.25">
      <c r="A106" s="687" t="s">
        <v>55</v>
      </c>
      <c r="B106" s="118">
        <f t="shared" si="55"/>
        <v>43859.13000000001</v>
      </c>
      <c r="C106" s="144">
        <v>14758.92</v>
      </c>
      <c r="D106" s="144">
        <v>15796.79</v>
      </c>
      <c r="E106" s="74"/>
      <c r="F106" s="118">
        <f t="shared" si="61"/>
        <v>42821.26000000001</v>
      </c>
      <c r="G106" s="145">
        <f t="shared" si="56"/>
        <v>2782.5</v>
      </c>
      <c r="H106" s="602">
        <v>185.5</v>
      </c>
      <c r="I106" s="82">
        <v>0</v>
      </c>
      <c r="J106" s="145">
        <f t="shared" si="62"/>
        <v>2968</v>
      </c>
      <c r="K106" s="126">
        <f t="shared" si="57"/>
        <v>2234.070000000002</v>
      </c>
      <c r="L106" s="526">
        <v>372.59</v>
      </c>
      <c r="M106" s="692">
        <v>0</v>
      </c>
      <c r="N106" s="126">
        <f t="shared" si="63"/>
        <v>2606.660000000002</v>
      </c>
      <c r="O106" s="155">
        <f t="shared" si="58"/>
        <v>-84.25999999999999</v>
      </c>
      <c r="P106" s="625"/>
      <c r="Q106" s="78"/>
      <c r="R106" s="144"/>
      <c r="S106" s="234">
        <f t="shared" si="64"/>
        <v>-84.25999999999999</v>
      </c>
      <c r="T106" s="235">
        <f t="shared" si="65"/>
        <v>0</v>
      </c>
      <c r="U106" s="92">
        <f t="shared" si="66"/>
        <v>0</v>
      </c>
      <c r="V106" s="92">
        <f t="shared" si="67"/>
        <v>0</v>
      </c>
      <c r="W106" s="233">
        <f t="shared" si="68"/>
        <v>0</v>
      </c>
      <c r="X106" s="611">
        <f t="shared" si="59"/>
        <v>4.41</v>
      </c>
      <c r="Y106" s="610">
        <f t="shared" si="69"/>
        <v>0</v>
      </c>
      <c r="Z106" s="612">
        <f t="shared" si="60"/>
        <v>0</v>
      </c>
      <c r="AA106" s="476">
        <f t="shared" si="70"/>
        <v>4.41</v>
      </c>
      <c r="AB106" s="620">
        <f t="shared" si="71"/>
        <v>0</v>
      </c>
      <c r="AC106" s="618">
        <f t="shared" si="72"/>
        <v>15317.01</v>
      </c>
      <c r="AD106" s="270">
        <f t="shared" si="73"/>
        <v>15796.79</v>
      </c>
      <c r="AE106" s="614">
        <f t="shared" si="74"/>
        <v>15796.79</v>
      </c>
    </row>
    <row r="107" spans="1:31" ht="20.25">
      <c r="A107" s="687" t="s">
        <v>15</v>
      </c>
      <c r="B107" s="118">
        <f t="shared" si="55"/>
        <v>101365.81000000035</v>
      </c>
      <c r="C107" s="144">
        <v>34705.99</v>
      </c>
      <c r="D107" s="144">
        <v>32855.85</v>
      </c>
      <c r="E107" s="74"/>
      <c r="F107" s="118">
        <f t="shared" si="61"/>
        <v>103215.95000000033</v>
      </c>
      <c r="G107" s="145">
        <f t="shared" si="56"/>
        <v>0</v>
      </c>
      <c r="H107" s="602"/>
      <c r="I107" s="82">
        <v>0</v>
      </c>
      <c r="J107" s="145">
        <f t="shared" si="62"/>
        <v>0</v>
      </c>
      <c r="K107" s="126">
        <f t="shared" si="57"/>
        <v>-1788.22</v>
      </c>
      <c r="L107" s="526">
        <v>354.57</v>
      </c>
      <c r="M107" s="692">
        <v>1063.71</v>
      </c>
      <c r="N107" s="126">
        <f t="shared" si="63"/>
        <v>-2497.36</v>
      </c>
      <c r="O107" s="155">
        <f t="shared" si="58"/>
        <v>442.4999999999998</v>
      </c>
      <c r="P107" s="144">
        <v>224.71</v>
      </c>
      <c r="Q107" s="78"/>
      <c r="R107" s="144">
        <v>188.87</v>
      </c>
      <c r="S107" s="234">
        <f t="shared" si="64"/>
        <v>478.3399999999998</v>
      </c>
      <c r="T107" s="235">
        <f t="shared" si="65"/>
        <v>188.87</v>
      </c>
      <c r="U107" s="92">
        <f t="shared" si="66"/>
        <v>1063.71</v>
      </c>
      <c r="V107" s="92">
        <f t="shared" si="67"/>
        <v>0</v>
      </c>
      <c r="W107" s="233">
        <f t="shared" si="68"/>
        <v>1252.58</v>
      </c>
      <c r="X107" s="611">
        <f t="shared" si="59"/>
        <v>320.7</v>
      </c>
      <c r="Y107" s="610">
        <f t="shared" si="69"/>
        <v>1063.71</v>
      </c>
      <c r="Z107" s="612">
        <f t="shared" si="60"/>
        <v>0</v>
      </c>
      <c r="AA107" s="476">
        <f t="shared" si="70"/>
        <v>1384.41</v>
      </c>
      <c r="AB107" s="620">
        <f t="shared" si="71"/>
        <v>1063.71</v>
      </c>
      <c r="AC107" s="618">
        <f t="shared" si="72"/>
        <v>35285.27</v>
      </c>
      <c r="AD107" s="270">
        <f t="shared" si="73"/>
        <v>34108.43</v>
      </c>
      <c r="AE107" s="614">
        <f t="shared" si="74"/>
        <v>33044.72</v>
      </c>
    </row>
    <row r="108" spans="1:32" ht="20.25">
      <c r="A108" s="687" t="s">
        <v>16</v>
      </c>
      <c r="B108" s="118">
        <f t="shared" si="55"/>
        <v>33195.010000000075</v>
      </c>
      <c r="C108" s="144">
        <v>28244.23</v>
      </c>
      <c r="D108" s="144">
        <v>27070.19</v>
      </c>
      <c r="E108" s="74"/>
      <c r="F108" s="118">
        <f t="shared" si="61"/>
        <v>34369.050000000076</v>
      </c>
      <c r="G108" s="145">
        <f t="shared" si="56"/>
        <v>0</v>
      </c>
      <c r="H108" s="602"/>
      <c r="I108" s="82">
        <v>0</v>
      </c>
      <c r="J108" s="145">
        <f t="shared" si="62"/>
        <v>0</v>
      </c>
      <c r="K108" s="126">
        <f t="shared" si="57"/>
        <v>1745.820000000002</v>
      </c>
      <c r="L108" s="526">
        <v>290.97</v>
      </c>
      <c r="M108" s="692">
        <v>872.91</v>
      </c>
      <c r="N108" s="126">
        <f t="shared" si="63"/>
        <v>1163.880000000002</v>
      </c>
      <c r="O108" s="155">
        <f t="shared" si="58"/>
        <v>81.15999999999998</v>
      </c>
      <c r="P108" s="144">
        <v>2.22</v>
      </c>
      <c r="Q108" s="78"/>
      <c r="R108" s="144">
        <v>0.62</v>
      </c>
      <c r="S108" s="234">
        <f t="shared" si="64"/>
        <v>82.75999999999998</v>
      </c>
      <c r="T108" s="235">
        <f t="shared" si="65"/>
        <v>0.62</v>
      </c>
      <c r="U108" s="92">
        <f t="shared" si="66"/>
        <v>872.91</v>
      </c>
      <c r="V108" s="92">
        <f t="shared" si="67"/>
        <v>0</v>
      </c>
      <c r="W108" s="233">
        <f t="shared" si="68"/>
        <v>873.53</v>
      </c>
      <c r="X108" s="611">
        <f t="shared" si="59"/>
        <v>6.84</v>
      </c>
      <c r="Y108" s="610">
        <f>V50+U79+U108</f>
        <v>872.91</v>
      </c>
      <c r="Z108" s="612">
        <f t="shared" si="60"/>
        <v>0</v>
      </c>
      <c r="AA108" s="476">
        <f t="shared" si="70"/>
        <v>879.75</v>
      </c>
      <c r="AB108" s="620">
        <f t="shared" si="71"/>
        <v>872.91</v>
      </c>
      <c r="AC108" s="618">
        <f t="shared" si="72"/>
        <v>28537.420000000002</v>
      </c>
      <c r="AD108" s="270">
        <f t="shared" si="73"/>
        <v>27943.719999999998</v>
      </c>
      <c r="AE108" s="614">
        <f t="shared" si="74"/>
        <v>27070.809999999998</v>
      </c>
      <c r="AF108" t="s">
        <v>166</v>
      </c>
    </row>
    <row r="109" spans="1:31" ht="20.25">
      <c r="A109" s="73" t="s">
        <v>17</v>
      </c>
      <c r="B109" s="118">
        <f t="shared" si="55"/>
        <v>58001.390000000276</v>
      </c>
      <c r="C109" s="144">
        <v>36774.58</v>
      </c>
      <c r="D109" s="144">
        <v>41815.22</v>
      </c>
      <c r="E109" s="74"/>
      <c r="F109" s="118">
        <f t="shared" si="61"/>
        <v>52960.75000000028</v>
      </c>
      <c r="G109" s="145">
        <f t="shared" si="56"/>
        <v>5525.250000000002</v>
      </c>
      <c r="H109" s="602">
        <v>368.35</v>
      </c>
      <c r="I109" s="82">
        <v>0</v>
      </c>
      <c r="J109" s="145">
        <f t="shared" si="62"/>
        <v>5893.600000000002</v>
      </c>
      <c r="K109" s="126">
        <f t="shared" si="57"/>
        <v>1239.1399999999999</v>
      </c>
      <c r="L109" s="526">
        <v>619.57</v>
      </c>
      <c r="M109" s="692">
        <v>1239.14</v>
      </c>
      <c r="N109" s="126">
        <f t="shared" si="63"/>
        <v>619.5699999999999</v>
      </c>
      <c r="O109" s="155">
        <f t="shared" si="58"/>
        <v>43.32000000000005</v>
      </c>
      <c r="P109" s="144">
        <v>366.26</v>
      </c>
      <c r="Q109" s="78"/>
      <c r="R109" s="144">
        <v>374.06</v>
      </c>
      <c r="S109" s="234">
        <f t="shared" si="64"/>
        <v>35.52000000000004</v>
      </c>
      <c r="T109" s="235">
        <f t="shared" si="65"/>
        <v>374.06</v>
      </c>
      <c r="U109" s="92">
        <f t="shared" si="66"/>
        <v>1239.14</v>
      </c>
      <c r="V109" s="92">
        <f t="shared" si="67"/>
        <v>0</v>
      </c>
      <c r="W109" s="233">
        <f t="shared" si="68"/>
        <v>1613.2</v>
      </c>
      <c r="X109" s="611">
        <f t="shared" si="59"/>
        <v>563.38</v>
      </c>
      <c r="Y109" s="1020">
        <f>V51+U80+U109</f>
        <v>1858.71</v>
      </c>
      <c r="Z109" s="612">
        <f t="shared" si="60"/>
        <v>0</v>
      </c>
      <c r="AA109" s="476">
        <f t="shared" si="70"/>
        <v>2422.09</v>
      </c>
      <c r="AB109" s="1021">
        <f t="shared" si="71"/>
        <v>1858.71</v>
      </c>
      <c r="AC109" s="618">
        <f t="shared" si="72"/>
        <v>38128.76</v>
      </c>
      <c r="AD109" s="270">
        <f t="shared" si="73"/>
        <v>43428.42</v>
      </c>
      <c r="AE109" s="614">
        <f t="shared" si="74"/>
        <v>42189.28</v>
      </c>
    </row>
    <row r="110" spans="1:32" ht="22.5" customHeight="1">
      <c r="A110" s="687" t="s">
        <v>18</v>
      </c>
      <c r="B110" s="118">
        <f t="shared" si="55"/>
        <v>153829.20000000007</v>
      </c>
      <c r="C110" s="144">
        <v>78553.42</v>
      </c>
      <c r="D110" s="144">
        <v>78621.28</v>
      </c>
      <c r="E110" s="74"/>
      <c r="F110" s="118">
        <f t="shared" si="61"/>
        <v>153761.34000000005</v>
      </c>
      <c r="G110" s="145">
        <f t="shared" si="56"/>
        <v>840.0499999999986</v>
      </c>
      <c r="H110" s="602"/>
      <c r="I110" s="82">
        <v>0</v>
      </c>
      <c r="J110" s="145">
        <f t="shared" si="62"/>
        <v>840.0499999999986</v>
      </c>
      <c r="K110" s="126">
        <f t="shared" si="57"/>
        <v>1507.32</v>
      </c>
      <c r="L110" s="526">
        <v>2216.46</v>
      </c>
      <c r="M110" s="692">
        <v>1372.7</v>
      </c>
      <c r="N110" s="126">
        <f t="shared" si="63"/>
        <v>2351.08</v>
      </c>
      <c r="O110" s="155">
        <f t="shared" si="58"/>
        <v>347.7900000000002</v>
      </c>
      <c r="P110" s="144">
        <v>175.14</v>
      </c>
      <c r="Q110" s="78"/>
      <c r="R110" s="144">
        <v>174.71</v>
      </c>
      <c r="S110" s="234">
        <f t="shared" si="64"/>
        <v>348.22000000000014</v>
      </c>
      <c r="T110" s="235">
        <f t="shared" si="65"/>
        <v>174.71</v>
      </c>
      <c r="U110" s="92">
        <f t="shared" si="66"/>
        <v>1372.7</v>
      </c>
      <c r="V110" s="92">
        <f t="shared" si="67"/>
        <v>0</v>
      </c>
      <c r="W110" s="233">
        <f t="shared" si="68"/>
        <v>1547.41</v>
      </c>
      <c r="X110" s="611">
        <f t="shared" si="59"/>
        <v>447.75</v>
      </c>
      <c r="Y110" s="610">
        <f t="shared" si="69"/>
        <v>3611.95</v>
      </c>
      <c r="Z110" s="612">
        <f t="shared" si="60"/>
        <v>0</v>
      </c>
      <c r="AA110" s="476">
        <f t="shared" si="70"/>
        <v>4059.7</v>
      </c>
      <c r="AB110" s="620">
        <f t="shared" si="71"/>
        <v>3611.95</v>
      </c>
      <c r="AC110" s="618">
        <f t="shared" si="72"/>
        <v>80945.02</v>
      </c>
      <c r="AD110" s="270">
        <f t="shared" si="73"/>
        <v>80168.69</v>
      </c>
      <c r="AE110" s="614">
        <f t="shared" si="74"/>
        <v>78795.99</v>
      </c>
      <c r="AF110" t="s">
        <v>167</v>
      </c>
    </row>
    <row r="111" spans="1:31" ht="21" customHeight="1">
      <c r="A111" s="687" t="s">
        <v>54</v>
      </c>
      <c r="B111" s="118">
        <f t="shared" si="55"/>
        <v>68697.83000000032</v>
      </c>
      <c r="C111" s="144">
        <v>33612.07</v>
      </c>
      <c r="D111" s="144">
        <v>35289.96</v>
      </c>
      <c r="E111" s="74"/>
      <c r="F111" s="118">
        <f t="shared" si="61"/>
        <v>67019.94000000032</v>
      </c>
      <c r="G111" s="145">
        <f t="shared" si="56"/>
        <v>4829.2400000000025</v>
      </c>
      <c r="H111" s="602">
        <v>261.82</v>
      </c>
      <c r="I111" s="82">
        <v>0</v>
      </c>
      <c r="J111" s="145">
        <f t="shared" si="62"/>
        <v>5091.060000000002</v>
      </c>
      <c r="K111" s="126">
        <f t="shared" si="57"/>
        <v>0</v>
      </c>
      <c r="L111" s="526"/>
      <c r="M111" s="692"/>
      <c r="N111" s="126">
        <f t="shared" si="63"/>
        <v>0</v>
      </c>
      <c r="O111" s="155">
        <f t="shared" si="58"/>
        <v>-1124.73</v>
      </c>
      <c r="P111" s="144">
        <v>262.9</v>
      </c>
      <c r="Q111" s="78"/>
      <c r="R111" s="144">
        <f>178.41+28.32</f>
        <v>206.73</v>
      </c>
      <c r="S111" s="234">
        <f t="shared" si="64"/>
        <v>-1068.56</v>
      </c>
      <c r="T111" s="235">
        <f t="shared" si="65"/>
        <v>206.73</v>
      </c>
      <c r="U111" s="92">
        <f t="shared" si="66"/>
        <v>0</v>
      </c>
      <c r="V111" s="92">
        <f t="shared" si="67"/>
        <v>0</v>
      </c>
      <c r="W111" s="233">
        <f t="shared" si="68"/>
        <v>206.73</v>
      </c>
      <c r="X111" s="611">
        <f t="shared" si="59"/>
        <v>329.16999999999996</v>
      </c>
      <c r="Y111" s="610">
        <f t="shared" si="69"/>
        <v>0</v>
      </c>
      <c r="Z111" s="612">
        <f t="shared" si="60"/>
        <v>0</v>
      </c>
      <c r="AA111" s="476">
        <f t="shared" si="70"/>
        <v>329.16999999999996</v>
      </c>
      <c r="AB111" s="620">
        <f t="shared" si="71"/>
        <v>0</v>
      </c>
      <c r="AC111" s="618">
        <f t="shared" si="72"/>
        <v>34136.79</v>
      </c>
      <c r="AD111" s="270">
        <f t="shared" si="73"/>
        <v>35496.69</v>
      </c>
      <c r="AE111" s="614">
        <f t="shared" si="74"/>
        <v>35496.69</v>
      </c>
    </row>
    <row r="112" spans="1:31" ht="20.25">
      <c r="A112" s="687" t="s">
        <v>49</v>
      </c>
      <c r="B112" s="118">
        <f t="shared" si="55"/>
        <v>186244.99000000022</v>
      </c>
      <c r="C112" s="144">
        <v>71492.24</v>
      </c>
      <c r="D112" s="144">
        <v>72645.99</v>
      </c>
      <c r="E112" s="74"/>
      <c r="F112" s="118">
        <f t="shared" si="61"/>
        <v>185091.24000000022</v>
      </c>
      <c r="G112" s="145">
        <f t="shared" si="56"/>
        <v>12258.900000000001</v>
      </c>
      <c r="H112" s="602">
        <v>817.26</v>
      </c>
      <c r="I112" s="82">
        <v>0</v>
      </c>
      <c r="J112" s="145">
        <f t="shared" si="62"/>
        <v>13076.160000000002</v>
      </c>
      <c r="K112" s="126">
        <f t="shared" si="57"/>
        <v>5697.610000000003</v>
      </c>
      <c r="L112" s="526">
        <f>3556.3</f>
        <v>3556.3</v>
      </c>
      <c r="M112" s="692">
        <v>6571.47</v>
      </c>
      <c r="N112" s="126">
        <f t="shared" si="63"/>
        <v>2682.4400000000032</v>
      </c>
      <c r="O112" s="155">
        <f t="shared" si="58"/>
        <v>-1069.6799999999998</v>
      </c>
      <c r="P112" s="144">
        <v>498.06</v>
      </c>
      <c r="Q112" s="78"/>
      <c r="R112" s="144">
        <v>486.61</v>
      </c>
      <c r="S112" s="234">
        <f t="shared" si="64"/>
        <v>-1058.23</v>
      </c>
      <c r="T112" s="235">
        <f t="shared" si="65"/>
        <v>486.61</v>
      </c>
      <c r="U112" s="92">
        <f t="shared" si="66"/>
        <v>6571.47</v>
      </c>
      <c r="V112" s="92">
        <f t="shared" si="67"/>
        <v>0</v>
      </c>
      <c r="W112" s="233">
        <f t="shared" si="68"/>
        <v>7058.08</v>
      </c>
      <c r="X112" s="611">
        <f t="shared" si="59"/>
        <v>772.44</v>
      </c>
      <c r="Y112" s="610">
        <f t="shared" si="69"/>
        <v>10170.7</v>
      </c>
      <c r="Z112" s="612">
        <f t="shared" si="60"/>
        <v>0</v>
      </c>
      <c r="AA112" s="476">
        <f t="shared" si="70"/>
        <v>10943.140000000001</v>
      </c>
      <c r="AB112" s="620">
        <f t="shared" si="71"/>
        <v>10170.7</v>
      </c>
      <c r="AC112" s="618">
        <f t="shared" si="72"/>
        <v>76363.86</v>
      </c>
      <c r="AD112" s="270">
        <f t="shared" si="73"/>
        <v>79704.07</v>
      </c>
      <c r="AE112" s="614">
        <f t="shared" si="74"/>
        <v>73132.6</v>
      </c>
    </row>
    <row r="113" spans="1:31" ht="20.25">
      <c r="A113" s="167" t="s">
        <v>19</v>
      </c>
      <c r="B113" s="118">
        <f t="shared" si="55"/>
        <v>85538.45999999999</v>
      </c>
      <c r="C113" s="144">
        <v>52752.5</v>
      </c>
      <c r="D113" s="144">
        <v>54998.94</v>
      </c>
      <c r="E113" s="74"/>
      <c r="F113" s="118">
        <f t="shared" si="61"/>
        <v>83292.01999999999</v>
      </c>
      <c r="G113" s="145">
        <f t="shared" si="56"/>
        <v>5755.919999999997</v>
      </c>
      <c r="H113" s="602">
        <v>356.69</v>
      </c>
      <c r="I113" s="82">
        <v>0</v>
      </c>
      <c r="J113" s="145">
        <f t="shared" si="62"/>
        <v>6112.609999999997</v>
      </c>
      <c r="K113" s="126">
        <f t="shared" si="57"/>
        <v>915.8600000000006</v>
      </c>
      <c r="L113" s="526">
        <v>1041.55</v>
      </c>
      <c r="M113" s="692">
        <v>1111.41</v>
      </c>
      <c r="N113" s="126">
        <f t="shared" si="63"/>
        <v>846.0000000000005</v>
      </c>
      <c r="O113" s="155">
        <f t="shared" si="58"/>
        <v>349.48000000000036</v>
      </c>
      <c r="P113" s="144">
        <v>1155.43</v>
      </c>
      <c r="Q113" s="78"/>
      <c r="R113" s="144">
        <v>130.25</v>
      </c>
      <c r="S113" s="234">
        <f t="shared" si="64"/>
        <v>1374.6600000000003</v>
      </c>
      <c r="T113" s="235">
        <f t="shared" si="65"/>
        <v>130.25</v>
      </c>
      <c r="U113" s="92">
        <f t="shared" si="66"/>
        <v>1111.41</v>
      </c>
      <c r="V113" s="92">
        <f t="shared" si="67"/>
        <v>0</v>
      </c>
      <c r="W113" s="233">
        <f t="shared" si="68"/>
        <v>1241.66</v>
      </c>
      <c r="X113" s="611">
        <f t="shared" si="59"/>
        <v>420.59</v>
      </c>
      <c r="Y113" s="610">
        <f t="shared" si="69"/>
        <v>3492.17</v>
      </c>
      <c r="Z113" s="612">
        <f t="shared" si="60"/>
        <v>0</v>
      </c>
      <c r="AA113" s="476">
        <f t="shared" si="70"/>
        <v>3912.76</v>
      </c>
      <c r="AB113" s="620">
        <f t="shared" si="71"/>
        <v>3492.17</v>
      </c>
      <c r="AC113" s="618">
        <f t="shared" si="72"/>
        <v>55306.170000000006</v>
      </c>
      <c r="AD113" s="270">
        <f t="shared" si="73"/>
        <v>56240.600000000006</v>
      </c>
      <c r="AE113" s="614">
        <f t="shared" si="74"/>
        <v>55129.19</v>
      </c>
    </row>
    <row r="114" spans="1:31" ht="20.25">
      <c r="A114" s="688" t="s">
        <v>20</v>
      </c>
      <c r="B114" s="118">
        <f t="shared" si="55"/>
        <v>59428.680000000066</v>
      </c>
      <c r="C114" s="183">
        <v>34274.05</v>
      </c>
      <c r="D114" s="183">
        <v>35458.5</v>
      </c>
      <c r="E114" s="131"/>
      <c r="F114" s="118">
        <f t="shared" si="61"/>
        <v>58244.23000000007</v>
      </c>
      <c r="G114" s="145">
        <f t="shared" si="56"/>
        <v>0</v>
      </c>
      <c r="H114" s="603"/>
      <c r="I114" s="82">
        <v>0</v>
      </c>
      <c r="J114" s="145">
        <f t="shared" si="62"/>
        <v>0</v>
      </c>
      <c r="K114" s="126">
        <f t="shared" si="57"/>
        <v>5144.87</v>
      </c>
      <c r="L114" s="529">
        <v>689</v>
      </c>
      <c r="M114" s="980">
        <v>1378</v>
      </c>
      <c r="N114" s="126">
        <f t="shared" si="63"/>
        <v>4455.87</v>
      </c>
      <c r="O114" s="155">
        <f t="shared" si="58"/>
        <v>105.80999999999993</v>
      </c>
      <c r="P114" s="183">
        <v>113.83</v>
      </c>
      <c r="Q114" s="135"/>
      <c r="R114" s="183">
        <v>113.83</v>
      </c>
      <c r="S114" s="234">
        <f t="shared" si="64"/>
        <v>105.80999999999993</v>
      </c>
      <c r="T114" s="235">
        <f t="shared" si="65"/>
        <v>113.83</v>
      </c>
      <c r="U114" s="92">
        <f t="shared" si="66"/>
        <v>1378</v>
      </c>
      <c r="V114" s="92">
        <f t="shared" si="67"/>
        <v>0</v>
      </c>
      <c r="W114" s="233">
        <f t="shared" si="68"/>
        <v>1491.83</v>
      </c>
      <c r="X114" s="611">
        <f t="shared" si="59"/>
        <v>137.98</v>
      </c>
      <c r="Y114" s="610">
        <f t="shared" si="69"/>
        <v>1378</v>
      </c>
      <c r="Z114" s="612">
        <f t="shared" si="60"/>
        <v>0</v>
      </c>
      <c r="AA114" s="476">
        <f t="shared" si="70"/>
        <v>1515.98</v>
      </c>
      <c r="AB114" s="620">
        <f t="shared" si="71"/>
        <v>1378</v>
      </c>
      <c r="AC114" s="618">
        <f t="shared" si="72"/>
        <v>35076.880000000005</v>
      </c>
      <c r="AD114" s="270">
        <f t="shared" si="73"/>
        <v>36950.33</v>
      </c>
      <c r="AE114" s="614">
        <f t="shared" si="74"/>
        <v>35572.33</v>
      </c>
    </row>
    <row r="115" spans="1:31" ht="26.25" customHeight="1">
      <c r="A115" s="690" t="s">
        <v>123</v>
      </c>
      <c r="B115" s="118">
        <f t="shared" si="55"/>
        <v>-427457.6400000004</v>
      </c>
      <c r="C115" s="183">
        <v>41829.72</v>
      </c>
      <c r="D115" s="183">
        <v>45925.62</v>
      </c>
      <c r="E115" s="131"/>
      <c r="F115" s="118">
        <f t="shared" si="61"/>
        <v>-431553.5400000004</v>
      </c>
      <c r="G115" s="145">
        <f t="shared" si="56"/>
        <v>537.42</v>
      </c>
      <c r="H115" s="600">
        <v>268.71</v>
      </c>
      <c r="I115" s="82">
        <v>0</v>
      </c>
      <c r="J115" s="145">
        <f t="shared" si="62"/>
        <v>806.1299999999999</v>
      </c>
      <c r="K115" s="126">
        <f t="shared" si="57"/>
        <v>1421.6599999999999</v>
      </c>
      <c r="L115" s="977">
        <v>1421.46</v>
      </c>
      <c r="M115" s="981">
        <v>1421.46</v>
      </c>
      <c r="N115" s="126">
        <f t="shared" si="63"/>
        <v>1421.6599999999999</v>
      </c>
      <c r="O115" s="155">
        <f t="shared" si="58"/>
        <v>-13.629999999999988</v>
      </c>
      <c r="P115" s="183">
        <v>162.64</v>
      </c>
      <c r="Q115" s="135"/>
      <c r="R115" s="183">
        <v>144.76</v>
      </c>
      <c r="S115" s="234">
        <f t="shared" si="64"/>
        <v>4.25</v>
      </c>
      <c r="T115" s="235">
        <f t="shared" si="65"/>
        <v>144.76</v>
      </c>
      <c r="U115" s="92">
        <f t="shared" si="66"/>
        <v>1421.46</v>
      </c>
      <c r="V115" s="92">
        <f t="shared" si="67"/>
        <v>0</v>
      </c>
      <c r="W115" s="233">
        <f t="shared" si="68"/>
        <v>1566.22</v>
      </c>
      <c r="X115" s="611">
        <f t="shared" si="59"/>
        <v>296.16999999999996</v>
      </c>
      <c r="Y115" s="610">
        <f>V57+U86+U115</f>
        <v>2842.92</v>
      </c>
      <c r="Z115" s="612">
        <f t="shared" si="60"/>
        <v>0</v>
      </c>
      <c r="AA115" s="476">
        <f t="shared" si="70"/>
        <v>3139.09</v>
      </c>
      <c r="AB115" s="620">
        <f t="shared" si="71"/>
        <v>2842.92</v>
      </c>
      <c r="AC115" s="618">
        <f t="shared" si="72"/>
        <v>43682.53</v>
      </c>
      <c r="AD115" s="270">
        <f t="shared" si="73"/>
        <v>47491.840000000004</v>
      </c>
      <c r="AE115" s="614">
        <f t="shared" si="74"/>
        <v>46070.380000000005</v>
      </c>
    </row>
    <row r="116" spans="1:31" ht="24" customHeight="1">
      <c r="A116" s="689" t="s">
        <v>124</v>
      </c>
      <c r="B116" s="118">
        <f t="shared" si="55"/>
        <v>113882.99000000008</v>
      </c>
      <c r="C116" s="183">
        <v>14903.07</v>
      </c>
      <c r="D116" s="183">
        <v>16378.06</v>
      </c>
      <c r="E116" s="131"/>
      <c r="F116" s="118">
        <f t="shared" si="61"/>
        <v>112408.00000000009</v>
      </c>
      <c r="G116" s="145">
        <f t="shared" si="56"/>
        <v>0</v>
      </c>
      <c r="H116" s="604"/>
      <c r="I116" s="82">
        <v>0</v>
      </c>
      <c r="J116" s="145">
        <f t="shared" si="62"/>
        <v>0</v>
      </c>
      <c r="K116" s="126">
        <f t="shared" si="57"/>
        <v>0</v>
      </c>
      <c r="L116" s="965"/>
      <c r="M116" s="982"/>
      <c r="N116" s="126">
        <f t="shared" si="63"/>
        <v>0</v>
      </c>
      <c r="O116" s="155">
        <f t="shared" si="58"/>
        <v>-0.5599999999999996</v>
      </c>
      <c r="P116" s="183">
        <v>139.43</v>
      </c>
      <c r="Q116" s="135"/>
      <c r="R116" s="183">
        <v>119.28</v>
      </c>
      <c r="S116" s="234">
        <f t="shared" si="64"/>
        <v>19.590000000000003</v>
      </c>
      <c r="T116" s="235">
        <f t="shared" si="65"/>
        <v>119.28</v>
      </c>
      <c r="U116" s="92">
        <f t="shared" si="66"/>
        <v>0</v>
      </c>
      <c r="V116" s="92">
        <f t="shared" si="67"/>
        <v>0</v>
      </c>
      <c r="W116" s="233">
        <f t="shared" si="68"/>
        <v>119.28</v>
      </c>
      <c r="X116" s="611">
        <f t="shared" si="59"/>
        <v>119.66</v>
      </c>
      <c r="Y116" s="610">
        <f t="shared" si="69"/>
        <v>0</v>
      </c>
      <c r="Z116" s="612">
        <f t="shared" si="60"/>
        <v>0</v>
      </c>
      <c r="AA116" s="476">
        <f t="shared" si="70"/>
        <v>119.66</v>
      </c>
      <c r="AB116" s="620">
        <f t="shared" si="71"/>
        <v>0</v>
      </c>
      <c r="AC116" s="618">
        <f t="shared" si="72"/>
        <v>15042.5</v>
      </c>
      <c r="AD116" s="270">
        <f t="shared" si="73"/>
        <v>16497.34</v>
      </c>
      <c r="AE116" s="614">
        <f t="shared" si="74"/>
        <v>16497.34</v>
      </c>
    </row>
    <row r="117" spans="1:31" ht="23.25" customHeight="1">
      <c r="A117" s="73" t="s">
        <v>188</v>
      </c>
      <c r="B117" s="118">
        <f t="shared" si="55"/>
        <v>25860.55999999994</v>
      </c>
      <c r="C117" s="183">
        <v>39551.25</v>
      </c>
      <c r="D117" s="183">
        <v>48589.46</v>
      </c>
      <c r="E117" s="131"/>
      <c r="F117" s="118">
        <f t="shared" si="61"/>
        <v>16822.34999999994</v>
      </c>
      <c r="G117" s="145">
        <f t="shared" si="56"/>
        <v>3051.21</v>
      </c>
      <c r="H117" s="604">
        <v>338.67</v>
      </c>
      <c r="I117" s="82">
        <v>0</v>
      </c>
      <c r="J117" s="145">
        <f t="shared" si="62"/>
        <v>3389.88</v>
      </c>
      <c r="K117" s="126">
        <f t="shared" si="57"/>
        <v>1164.0600000000024</v>
      </c>
      <c r="L117" s="965">
        <f>666.74+435.13+359.87</f>
        <v>1461.7399999999998</v>
      </c>
      <c r="M117" s="982">
        <v>13535.13</v>
      </c>
      <c r="N117" s="126">
        <f t="shared" si="63"/>
        <v>-10909.329999999998</v>
      </c>
      <c r="O117" s="155">
        <f t="shared" si="58"/>
        <v>-15169.990000000002</v>
      </c>
      <c r="P117" s="183">
        <v>606.59</v>
      </c>
      <c r="Q117" s="135"/>
      <c r="R117" s="183">
        <f>530.56+694.99</f>
        <v>1225.55</v>
      </c>
      <c r="S117" s="234">
        <f t="shared" si="64"/>
        <v>-15788.95</v>
      </c>
      <c r="T117" s="235">
        <f t="shared" si="65"/>
        <v>1225.55</v>
      </c>
      <c r="U117" s="92">
        <f t="shared" si="66"/>
        <v>13535.13</v>
      </c>
      <c r="V117" s="92">
        <f t="shared" si="67"/>
        <v>0</v>
      </c>
      <c r="W117" s="233">
        <f t="shared" si="68"/>
        <v>14760.679999999998</v>
      </c>
      <c r="X117" s="611">
        <f>U59+T88+T117</f>
        <v>12774.24</v>
      </c>
      <c r="Y117" s="610">
        <f>V59+U88+U117</f>
        <v>20303.739999999998</v>
      </c>
      <c r="Z117" s="612">
        <f t="shared" si="60"/>
        <v>0</v>
      </c>
      <c r="AA117" s="476">
        <f t="shared" si="70"/>
        <v>33077.979999999996</v>
      </c>
      <c r="AB117" s="620">
        <f t="shared" si="71"/>
        <v>20303.739999999998</v>
      </c>
      <c r="AC117" s="618">
        <f t="shared" si="72"/>
        <v>41958.24999999999</v>
      </c>
      <c r="AD117" s="270">
        <f t="shared" si="73"/>
        <v>63350.14</v>
      </c>
      <c r="AE117" s="614">
        <f t="shared" si="74"/>
        <v>49815.01</v>
      </c>
    </row>
    <row r="118" spans="1:31" ht="25.5" customHeight="1">
      <c r="A118" s="73" t="s">
        <v>189</v>
      </c>
      <c r="B118" s="118">
        <f t="shared" si="55"/>
        <v>169236.19999999995</v>
      </c>
      <c r="C118" s="183">
        <v>45631.94</v>
      </c>
      <c r="D118" s="183">
        <v>62420.03</v>
      </c>
      <c r="E118" s="131"/>
      <c r="F118" s="118">
        <f t="shared" si="61"/>
        <v>152448.10999999996</v>
      </c>
      <c r="G118" s="145">
        <f t="shared" si="56"/>
        <v>10556.539999999999</v>
      </c>
      <c r="H118" s="604">
        <v>2162.4</v>
      </c>
      <c r="I118" s="82">
        <v>0</v>
      </c>
      <c r="J118" s="145">
        <f t="shared" si="62"/>
        <v>12718.939999999999</v>
      </c>
      <c r="K118" s="126">
        <f t="shared" si="57"/>
        <v>-15126.019999999997</v>
      </c>
      <c r="L118" s="965">
        <f>701.19+2095.62</f>
        <v>2796.81</v>
      </c>
      <c r="M118" s="982">
        <f>1402.38+2095.62</f>
        <v>3498</v>
      </c>
      <c r="N118" s="126">
        <f t="shared" si="63"/>
        <v>-15827.209999999997</v>
      </c>
      <c r="O118" s="155">
        <f t="shared" si="58"/>
        <v>-54658.939999999995</v>
      </c>
      <c r="P118" s="183">
        <v>1701.37</v>
      </c>
      <c r="Q118" s="135"/>
      <c r="R118" s="183">
        <f>1055.88+4421.67</f>
        <v>5477.55</v>
      </c>
      <c r="S118" s="234">
        <f t="shared" si="64"/>
        <v>-58435.119999999995</v>
      </c>
      <c r="T118" s="235">
        <f t="shared" si="65"/>
        <v>5477.55</v>
      </c>
      <c r="U118" s="92">
        <f t="shared" si="66"/>
        <v>3498</v>
      </c>
      <c r="V118" s="92">
        <f t="shared" si="67"/>
        <v>0</v>
      </c>
      <c r="W118" s="233">
        <f t="shared" si="68"/>
        <v>8975.55</v>
      </c>
      <c r="X118" s="611">
        <f t="shared" si="59"/>
        <v>16951.26</v>
      </c>
      <c r="Y118" s="610">
        <f t="shared" si="69"/>
        <v>3498</v>
      </c>
      <c r="Z118" s="612">
        <f t="shared" si="60"/>
        <v>0</v>
      </c>
      <c r="AA118" s="476">
        <f t="shared" si="70"/>
        <v>20449.26</v>
      </c>
      <c r="AB118" s="620">
        <f t="shared" si="71"/>
        <v>3498</v>
      </c>
      <c r="AC118" s="618">
        <f t="shared" si="72"/>
        <v>52292.520000000004</v>
      </c>
      <c r="AD118" s="270">
        <f t="shared" si="73"/>
        <v>71395.58</v>
      </c>
      <c r="AE118" s="614">
        <f t="shared" si="74"/>
        <v>67897.58</v>
      </c>
    </row>
    <row r="119" spans="1:31" ht="23.25" customHeight="1">
      <c r="A119" s="73" t="s">
        <v>218</v>
      </c>
      <c r="B119" s="118">
        <f t="shared" si="55"/>
        <v>151802.07</v>
      </c>
      <c r="C119" s="183">
        <v>42325.81</v>
      </c>
      <c r="D119" s="183">
        <v>56337.31</v>
      </c>
      <c r="E119" s="131"/>
      <c r="F119" s="118">
        <f t="shared" si="61"/>
        <v>137790.57</v>
      </c>
      <c r="G119" s="145">
        <f t="shared" si="56"/>
        <v>0</v>
      </c>
      <c r="H119" s="604"/>
      <c r="I119" s="82">
        <v>0</v>
      </c>
      <c r="J119" s="145">
        <f t="shared" si="62"/>
        <v>0</v>
      </c>
      <c r="K119" s="126">
        <f t="shared" si="57"/>
        <v>-62945.81</v>
      </c>
      <c r="L119" s="965">
        <v>0</v>
      </c>
      <c r="M119" s="982"/>
      <c r="N119" s="126">
        <f t="shared" si="63"/>
        <v>-62945.81</v>
      </c>
      <c r="O119" s="155">
        <f t="shared" si="58"/>
        <v>-67978.27000000002</v>
      </c>
      <c r="P119" s="183">
        <v>692.07</v>
      </c>
      <c r="Q119" s="135"/>
      <c r="R119" s="183">
        <f>380.9+3502.04</f>
        <v>3882.94</v>
      </c>
      <c r="S119" s="234">
        <f t="shared" si="64"/>
        <v>-71169.14000000001</v>
      </c>
      <c r="T119" s="235">
        <f t="shared" si="65"/>
        <v>3882.94</v>
      </c>
      <c r="U119" s="92">
        <f t="shared" si="66"/>
        <v>0</v>
      </c>
      <c r="V119" s="92">
        <f t="shared" si="67"/>
        <v>0</v>
      </c>
      <c r="W119" s="233">
        <f t="shared" si="68"/>
        <v>3882.94</v>
      </c>
      <c r="X119" s="611">
        <f t="shared" si="59"/>
        <v>13463.85</v>
      </c>
      <c r="Y119" s="610">
        <f>V61+U90+U119</f>
        <v>1927.08</v>
      </c>
      <c r="Z119" s="612">
        <f t="shared" si="60"/>
        <v>0</v>
      </c>
      <c r="AA119" s="476">
        <f t="shared" si="70"/>
        <v>15390.93</v>
      </c>
      <c r="AB119" s="620">
        <f t="shared" si="71"/>
        <v>1927.08</v>
      </c>
      <c r="AC119" s="618">
        <f t="shared" si="72"/>
        <v>43017.88</v>
      </c>
      <c r="AD119" s="270">
        <f t="shared" si="73"/>
        <v>60220.25</v>
      </c>
      <c r="AE119" s="614">
        <f t="shared" si="74"/>
        <v>60220.25</v>
      </c>
    </row>
    <row r="120" spans="1:31" ht="23.25" customHeight="1">
      <c r="A120" s="73" t="s">
        <v>238</v>
      </c>
      <c r="B120" s="118">
        <f t="shared" si="55"/>
        <v>109945.90000000002</v>
      </c>
      <c r="C120" s="183">
        <v>15747.89</v>
      </c>
      <c r="D120" s="183">
        <v>27056.84</v>
      </c>
      <c r="E120" s="131"/>
      <c r="F120" s="118">
        <f t="shared" si="61"/>
        <v>98636.95000000003</v>
      </c>
      <c r="G120" s="145">
        <f t="shared" si="56"/>
        <v>0</v>
      </c>
      <c r="H120" s="604"/>
      <c r="I120" s="82">
        <v>0</v>
      </c>
      <c r="J120" s="145">
        <f t="shared" si="62"/>
        <v>0</v>
      </c>
      <c r="K120" s="126">
        <f t="shared" si="57"/>
        <v>0</v>
      </c>
      <c r="L120" s="965">
        <v>0</v>
      </c>
      <c r="M120" s="982"/>
      <c r="N120" s="126">
        <f t="shared" si="63"/>
        <v>0</v>
      </c>
      <c r="O120" s="155">
        <f t="shared" si="58"/>
        <v>16743.09</v>
      </c>
      <c r="P120" s="183">
        <v>144.43</v>
      </c>
      <c r="Q120" s="135"/>
      <c r="R120" s="183">
        <f>143.04+2818.14</f>
        <v>2961.18</v>
      </c>
      <c r="S120" s="234">
        <f t="shared" si="64"/>
        <v>13926.34</v>
      </c>
      <c r="T120" s="235">
        <f t="shared" si="65"/>
        <v>2961.18</v>
      </c>
      <c r="U120" s="92">
        <f t="shared" si="66"/>
        <v>0</v>
      </c>
      <c r="V120" s="92">
        <f t="shared" si="67"/>
        <v>0</v>
      </c>
      <c r="W120" s="233">
        <f t="shared" si="68"/>
        <v>2961.18</v>
      </c>
      <c r="X120" s="611">
        <f t="shared" si="59"/>
        <v>6823.7</v>
      </c>
      <c r="Y120" s="610">
        <f t="shared" si="69"/>
        <v>0</v>
      </c>
      <c r="Z120" s="612">
        <f t="shared" si="60"/>
        <v>0</v>
      </c>
      <c r="AA120" s="476">
        <f t="shared" si="70"/>
        <v>6823.7</v>
      </c>
      <c r="AB120" s="620">
        <f t="shared" si="71"/>
        <v>0</v>
      </c>
      <c r="AC120" s="618">
        <f t="shared" si="72"/>
        <v>15892.32</v>
      </c>
      <c r="AD120" s="270">
        <f t="shared" si="73"/>
        <v>30018.02</v>
      </c>
      <c r="AE120" s="614">
        <f t="shared" si="74"/>
        <v>30018.02</v>
      </c>
    </row>
    <row r="121" spans="1:31" ht="26.25" customHeight="1">
      <c r="A121" s="399" t="s">
        <v>127</v>
      </c>
      <c r="B121" s="393">
        <f>SUM(B96:B120)</f>
        <v>1953287.1400000015</v>
      </c>
      <c r="C121" s="394">
        <f>SUM(C96:C120)</f>
        <v>836944.37</v>
      </c>
      <c r="D121" s="394">
        <f>SUM(D96:D120)</f>
        <v>911196.18</v>
      </c>
      <c r="E121" s="394"/>
      <c r="F121" s="1003">
        <f>SUM(F96:F120)</f>
        <v>1879035.3300000017</v>
      </c>
      <c r="G121" s="396">
        <f>SUM(G96:G120)</f>
        <v>138676.22999999998</v>
      </c>
      <c r="H121" s="665">
        <f aca="true" t="shared" si="75" ref="H121:N121">SUM(H96:H120)</f>
        <v>10097.32</v>
      </c>
      <c r="I121" s="665">
        <f t="shared" si="75"/>
        <v>0</v>
      </c>
      <c r="J121" s="443">
        <f t="shared" si="75"/>
        <v>148773.55</v>
      </c>
      <c r="K121" s="443">
        <f t="shared" si="75"/>
        <v>-57567.94999999998</v>
      </c>
      <c r="L121" s="966">
        <f t="shared" si="75"/>
        <v>25689.669999999995</v>
      </c>
      <c r="M121" s="692">
        <f t="shared" si="75"/>
        <v>49304.299999999996</v>
      </c>
      <c r="N121" s="414">
        <f t="shared" si="75"/>
        <v>-81182.57999999999</v>
      </c>
      <c r="O121" s="608">
        <f>SUM(O96:O120)</f>
        <v>-125502.57000000004</v>
      </c>
      <c r="P121" s="606">
        <f>SUM(P96:P120)</f>
        <v>8254.66</v>
      </c>
      <c r="Q121" s="397"/>
      <c r="R121" s="607">
        <f>SUM(R96:R120)</f>
        <v>17284.649999999998</v>
      </c>
      <c r="S121" s="599">
        <f>SUM(S96:S120)</f>
        <v>-134532.56000000003</v>
      </c>
      <c r="T121" s="414">
        <f>SUM(T96:T120)</f>
        <v>17284.649999999998</v>
      </c>
      <c r="U121" s="414">
        <f>SUM(U96:U120)</f>
        <v>49304.299999999996</v>
      </c>
      <c r="V121" s="414">
        <f>SUM(V96:V116)</f>
        <v>0</v>
      </c>
      <c r="W121" s="414">
        <f>SUM(W96:W120)</f>
        <v>66588.95</v>
      </c>
      <c r="X121" s="1000">
        <f>SUM(X96:X120)</f>
        <v>56454.659999999996</v>
      </c>
      <c r="Y121" s="1000">
        <f>SUM(Y96:Y120)</f>
        <v>80668.55999999998</v>
      </c>
      <c r="Z121" s="1000">
        <f>SUM(Z96:Z116)</f>
        <v>0</v>
      </c>
      <c r="AA121" s="1004">
        <f>SUM(AA96:AA120)</f>
        <v>137123.22</v>
      </c>
      <c r="AB121" s="1001">
        <f t="shared" si="71"/>
        <v>80668.55999999998</v>
      </c>
      <c r="AC121" s="1012">
        <f>SUM(AC96:AC120)</f>
        <v>880986.02</v>
      </c>
      <c r="AD121" s="1013">
        <f>SUM(AD96:AD120)</f>
        <v>977785.1299999998</v>
      </c>
      <c r="AE121" s="1002">
        <f>SUM(AE96:AE120)</f>
        <v>928480.8299999998</v>
      </c>
    </row>
    <row r="122" spans="1:31" s="667" customFormat="1" ht="26.25" customHeight="1">
      <c r="A122" s="891"/>
      <c r="B122" s="892"/>
      <c r="C122" s="893"/>
      <c r="D122" s="894"/>
      <c r="E122" s="894"/>
      <c r="F122" s="983"/>
      <c r="G122" s="895"/>
      <c r="H122" s="859"/>
      <c r="I122" s="896"/>
      <c r="J122" s="897"/>
      <c r="K122" s="898"/>
      <c r="L122" s="861"/>
      <c r="M122" s="861"/>
      <c r="N122" s="899"/>
      <c r="O122" s="900"/>
      <c r="P122" s="901"/>
      <c r="Q122" s="899"/>
      <c r="R122" s="902"/>
      <c r="S122" s="861"/>
      <c r="T122" s="878"/>
      <c r="U122" s="878"/>
      <c r="V122" s="878"/>
      <c r="W122" s="878"/>
      <c r="X122" s="903"/>
      <c r="Y122" s="903"/>
      <c r="Z122" s="903"/>
      <c r="AA122" s="677"/>
      <c r="AB122" s="725"/>
      <c r="AC122" s="866"/>
      <c r="AD122" s="866"/>
      <c r="AE122" s="726"/>
    </row>
    <row r="123" spans="1:25" ht="49.5" customHeight="1" thickBot="1">
      <c r="A123" s="490" t="s">
        <v>122</v>
      </c>
      <c r="B123" s="1621" t="s">
        <v>22</v>
      </c>
      <c r="C123" s="1618" t="s">
        <v>2</v>
      </c>
      <c r="D123" s="1619"/>
      <c r="E123" s="1619"/>
      <c r="F123" s="1620"/>
      <c r="G123" s="1641" t="s">
        <v>3</v>
      </c>
      <c r="H123" s="1619"/>
      <c r="I123" s="1620"/>
      <c r="J123" s="454"/>
      <c r="K123" s="1642" t="s">
        <v>4</v>
      </c>
      <c r="L123" s="1643"/>
      <c r="M123" s="1643"/>
      <c r="N123" s="455"/>
      <c r="O123" s="282"/>
      <c r="P123" s="1603" t="s">
        <v>74</v>
      </c>
      <c r="Q123" s="1603"/>
      <c r="R123" s="1603"/>
      <c r="S123" s="1603"/>
      <c r="T123" s="456" t="s">
        <v>67</v>
      </c>
      <c r="U123" s="457" t="s">
        <v>69</v>
      </c>
      <c r="V123" s="492" t="s">
        <v>96</v>
      </c>
      <c r="W123" s="493" t="s">
        <v>88</v>
      </c>
      <c r="X123" s="435"/>
      <c r="Y123" s="435"/>
    </row>
    <row r="124" spans="1:26" ht="38.25" thickBot="1">
      <c r="A124" s="458" t="s">
        <v>126</v>
      </c>
      <c r="B124" s="1622"/>
      <c r="C124" s="459" t="s">
        <v>5</v>
      </c>
      <c r="D124" s="459" t="s">
        <v>6</v>
      </c>
      <c r="E124" s="459"/>
      <c r="F124" s="459" t="s">
        <v>7</v>
      </c>
      <c r="G124" s="460" t="s">
        <v>22</v>
      </c>
      <c r="H124" s="461" t="s">
        <v>5</v>
      </c>
      <c r="I124" s="685" t="s">
        <v>6</v>
      </c>
      <c r="J124" s="462" t="s">
        <v>7</v>
      </c>
      <c r="K124" s="463" t="s">
        <v>22</v>
      </c>
      <c r="L124" s="464" t="s">
        <v>5</v>
      </c>
      <c r="M124" s="464" t="s">
        <v>6</v>
      </c>
      <c r="N124" s="464" t="s">
        <v>7</v>
      </c>
      <c r="O124" s="465" t="s">
        <v>22</v>
      </c>
      <c r="P124" s="465" t="s">
        <v>33</v>
      </c>
      <c r="Q124" s="466" t="s">
        <v>64</v>
      </c>
      <c r="R124" s="466" t="s">
        <v>6</v>
      </c>
      <c r="S124" s="467" t="s">
        <v>7</v>
      </c>
      <c r="T124" s="468" t="s">
        <v>68</v>
      </c>
      <c r="U124" s="469" t="s">
        <v>70</v>
      </c>
      <c r="V124" s="470" t="s">
        <v>70</v>
      </c>
      <c r="W124" s="471" t="s">
        <v>76</v>
      </c>
      <c r="X124" s="426" t="s">
        <v>106</v>
      </c>
      <c r="Y124" s="426" t="s">
        <v>107</v>
      </c>
      <c r="Z124" s="572" t="s">
        <v>152</v>
      </c>
    </row>
    <row r="125" spans="1:26" ht="18.75">
      <c r="A125" s="431" t="s">
        <v>47</v>
      </c>
      <c r="B125" s="428">
        <f aca="true" t="shared" si="76" ref="B125:B149">F96</f>
        <v>118787.99999999996</v>
      </c>
      <c r="C125" s="630">
        <v>13336.39</v>
      </c>
      <c r="D125" s="630">
        <v>12078.64</v>
      </c>
      <c r="E125" s="446"/>
      <c r="F125" s="428">
        <f>B125+C125-D125</f>
        <v>120045.74999999996</v>
      </c>
      <c r="G125" s="285">
        <f aca="true" t="shared" si="77" ref="G125:G149">J96</f>
        <v>21438.499999999985</v>
      </c>
      <c r="H125" s="601">
        <v>1334.01</v>
      </c>
      <c r="I125" s="1030">
        <v>0</v>
      </c>
      <c r="J125" s="285">
        <f>G125+H125-I125</f>
        <v>22772.509999999984</v>
      </c>
      <c r="K125" s="302">
        <f aca="true" t="shared" si="78" ref="K125:K149">N96</f>
        <v>-5365.19</v>
      </c>
      <c r="L125" s="526">
        <v>4271.8</v>
      </c>
      <c r="M125" s="1031"/>
      <c r="N125" s="302">
        <f>K125+L125-M125</f>
        <v>-1093.3899999999994</v>
      </c>
      <c r="O125" s="636">
        <f aca="true" t="shared" si="79" ref="O125:O149">S96</f>
        <v>-1524.92</v>
      </c>
      <c r="P125" s="1034">
        <v>116.34</v>
      </c>
      <c r="Q125" s="300"/>
      <c r="R125" s="1034">
        <v>41.92</v>
      </c>
      <c r="S125" s="473">
        <f>O125+P125-R125</f>
        <v>-1450.5000000000002</v>
      </c>
      <c r="T125" s="474">
        <f>R125</f>
        <v>41.92</v>
      </c>
      <c r="U125" s="475">
        <f>M125</f>
        <v>0</v>
      </c>
      <c r="V125" s="476">
        <f>I125</f>
        <v>0</v>
      </c>
      <c r="W125" s="477">
        <f>T125+U125+V125</f>
        <v>41.92</v>
      </c>
      <c r="X125" s="444">
        <f>C125+H125+L125+P125</f>
        <v>19058.54</v>
      </c>
      <c r="Y125" s="444">
        <f>D125+I125+M125+R125</f>
        <v>12120.56</v>
      </c>
      <c r="Z125" s="515">
        <f>D125+R125</f>
        <v>12120.56</v>
      </c>
    </row>
    <row r="126" spans="1:26" ht="18.75">
      <c r="A126" s="431" t="s">
        <v>53</v>
      </c>
      <c r="B126" s="428">
        <f t="shared" si="76"/>
        <v>144004.5800000002</v>
      </c>
      <c r="C126" s="630">
        <v>29755.06</v>
      </c>
      <c r="D126" s="630">
        <v>33048.75</v>
      </c>
      <c r="E126" s="446"/>
      <c r="F126" s="428">
        <f aca="true" t="shared" si="80" ref="F126:F149">B126+C126-D126</f>
        <v>140710.8900000002</v>
      </c>
      <c r="G126" s="285">
        <f t="shared" si="77"/>
        <v>873.3399999999997</v>
      </c>
      <c r="H126" s="601">
        <v>258.4</v>
      </c>
      <c r="I126" s="1030">
        <v>0</v>
      </c>
      <c r="J126" s="285">
        <f aca="true" t="shared" si="81" ref="J126:J149">G126+H126-I126</f>
        <v>1131.7399999999998</v>
      </c>
      <c r="K126" s="302">
        <f t="shared" si="78"/>
        <v>-3381.8399999999992</v>
      </c>
      <c r="L126" s="526">
        <v>120.78</v>
      </c>
      <c r="M126" s="1031"/>
      <c r="N126" s="302">
        <f aca="true" t="shared" si="82" ref="N126:N149">K126+L126-M126</f>
        <v>-3261.059999999999</v>
      </c>
      <c r="O126" s="636">
        <f t="shared" si="79"/>
        <v>392.31000000000006</v>
      </c>
      <c r="P126" s="1034">
        <v>121.67</v>
      </c>
      <c r="Q126" s="300"/>
      <c r="R126" s="1034">
        <v>59.11</v>
      </c>
      <c r="S126" s="473">
        <f aca="true" t="shared" si="83" ref="S126:S149">O126+P126-R126</f>
        <v>454.87</v>
      </c>
      <c r="T126" s="474">
        <f aca="true" t="shared" si="84" ref="T126:T149">R126</f>
        <v>59.11</v>
      </c>
      <c r="U126" s="475">
        <f aca="true" t="shared" si="85" ref="U126:U149">M126</f>
        <v>0</v>
      </c>
      <c r="V126" s="476">
        <f aca="true" t="shared" si="86" ref="V126:V149">I126</f>
        <v>0</v>
      </c>
      <c r="W126" s="477">
        <f aca="true" t="shared" si="87" ref="W126:W150">T126+U126+V126</f>
        <v>59.11</v>
      </c>
      <c r="X126" s="444">
        <f aca="true" t="shared" si="88" ref="X126:X149">C126+H126+L126+P126</f>
        <v>30255.91</v>
      </c>
      <c r="Y126" s="444">
        <f aca="true" t="shared" si="89" ref="Y126:Y149">D126+I126+M126+R126</f>
        <v>33107.86</v>
      </c>
      <c r="Z126" s="515">
        <f aca="true" t="shared" si="90" ref="Z126:Z149">D126+R126</f>
        <v>33107.86</v>
      </c>
    </row>
    <row r="127" spans="1:26" ht="18.75">
      <c r="A127" s="431" t="s">
        <v>8</v>
      </c>
      <c r="B127" s="428">
        <f t="shared" si="76"/>
        <v>74445.62</v>
      </c>
      <c r="C127" s="631"/>
      <c r="D127" s="631"/>
      <c r="E127" s="447"/>
      <c r="F127" s="428">
        <f t="shared" si="80"/>
        <v>74445.62</v>
      </c>
      <c r="G127" s="285">
        <f t="shared" si="77"/>
        <v>0</v>
      </c>
      <c r="H127" s="602"/>
      <c r="I127" s="1030">
        <v>0</v>
      </c>
      <c r="J127" s="285">
        <f t="shared" si="81"/>
        <v>0</v>
      </c>
      <c r="K127" s="302">
        <f t="shared" si="78"/>
        <v>0</v>
      </c>
      <c r="L127" s="526"/>
      <c r="M127" s="1031"/>
      <c r="N127" s="302">
        <f t="shared" si="82"/>
        <v>0</v>
      </c>
      <c r="O127" s="636">
        <f t="shared" si="79"/>
        <v>0</v>
      </c>
      <c r="P127" s="699"/>
      <c r="Q127" s="301"/>
      <c r="R127" s="634"/>
      <c r="S127" s="473">
        <f t="shared" si="83"/>
        <v>0</v>
      </c>
      <c r="T127" s="474">
        <f t="shared" si="84"/>
        <v>0</v>
      </c>
      <c r="U127" s="475">
        <f t="shared" si="85"/>
        <v>0</v>
      </c>
      <c r="V127" s="476">
        <f t="shared" si="86"/>
        <v>0</v>
      </c>
      <c r="W127" s="477">
        <f t="shared" si="87"/>
        <v>0</v>
      </c>
      <c r="X127" s="444">
        <f t="shared" si="88"/>
        <v>0</v>
      </c>
      <c r="Y127" s="444">
        <f t="shared" si="89"/>
        <v>0</v>
      </c>
      <c r="Z127" s="515">
        <f t="shared" si="90"/>
        <v>0</v>
      </c>
    </row>
    <row r="128" spans="1:26" ht="18.75">
      <c r="A128" s="431" t="s">
        <v>48</v>
      </c>
      <c r="B128" s="428">
        <f t="shared" si="76"/>
        <v>344373.7700000002</v>
      </c>
      <c r="C128" s="628">
        <v>72292</v>
      </c>
      <c r="D128" s="628">
        <v>69308.86</v>
      </c>
      <c r="E128" s="428"/>
      <c r="F128" s="428">
        <f t="shared" si="80"/>
        <v>347356.9100000002</v>
      </c>
      <c r="G128" s="285">
        <f t="shared" si="77"/>
        <v>27243.059999999994</v>
      </c>
      <c r="H128" s="602">
        <v>1241.79</v>
      </c>
      <c r="I128" s="1030">
        <v>0</v>
      </c>
      <c r="J128" s="285">
        <f t="shared" si="81"/>
        <v>28484.849999999995</v>
      </c>
      <c r="K128" s="302">
        <f t="shared" si="78"/>
        <v>-242.80999999999858</v>
      </c>
      <c r="L128" s="526">
        <f>1653.07+242.74</f>
        <v>1895.81</v>
      </c>
      <c r="M128" s="1031">
        <v>1653.07</v>
      </c>
      <c r="N128" s="302">
        <f t="shared" si="82"/>
        <v>-0.0699999999985721</v>
      </c>
      <c r="O128" s="636">
        <f t="shared" si="79"/>
        <v>-2429.229999999999</v>
      </c>
      <c r="P128" s="699">
        <v>311.69</v>
      </c>
      <c r="Q128" s="312"/>
      <c r="R128" s="634">
        <v>310.94</v>
      </c>
      <c r="S128" s="473">
        <f t="shared" si="83"/>
        <v>-2428.479999999999</v>
      </c>
      <c r="T128" s="474">
        <f t="shared" si="84"/>
        <v>310.94</v>
      </c>
      <c r="U128" s="475">
        <f t="shared" si="85"/>
        <v>1653.07</v>
      </c>
      <c r="V128" s="476">
        <f t="shared" si="86"/>
        <v>0</v>
      </c>
      <c r="W128" s="477">
        <f t="shared" si="87"/>
        <v>1964.01</v>
      </c>
      <c r="X128" s="444">
        <f t="shared" si="88"/>
        <v>75741.29</v>
      </c>
      <c r="Y128" s="444">
        <f t="shared" si="89"/>
        <v>71272.87000000001</v>
      </c>
      <c r="Z128" s="515">
        <f t="shared" si="90"/>
        <v>69619.8</v>
      </c>
    </row>
    <row r="129" spans="1:26" ht="18.75">
      <c r="A129" s="431" t="s">
        <v>9</v>
      </c>
      <c r="B129" s="428">
        <f t="shared" si="76"/>
        <v>122426.47000000009</v>
      </c>
      <c r="C129" s="692">
        <v>17857.29</v>
      </c>
      <c r="D129" s="628">
        <v>20083.04</v>
      </c>
      <c r="E129" s="428"/>
      <c r="F129" s="428">
        <f t="shared" si="80"/>
        <v>120200.72000000009</v>
      </c>
      <c r="G129" s="285">
        <f t="shared" si="77"/>
        <v>32582.81</v>
      </c>
      <c r="H129" s="602">
        <f>1527.99+99.64</f>
        <v>1627.63</v>
      </c>
      <c r="I129" s="1030">
        <v>0</v>
      </c>
      <c r="J129" s="285">
        <f t="shared" si="81"/>
        <v>34210.44</v>
      </c>
      <c r="K129" s="302">
        <f t="shared" si="78"/>
        <v>0</v>
      </c>
      <c r="L129" s="526"/>
      <c r="M129" s="1031"/>
      <c r="N129" s="302">
        <f t="shared" si="82"/>
        <v>0</v>
      </c>
      <c r="O129" s="636">
        <f t="shared" si="79"/>
        <v>151.32999999999993</v>
      </c>
      <c r="P129" s="634">
        <v>142.97</v>
      </c>
      <c r="Q129" s="312"/>
      <c r="R129" s="634">
        <v>100.21</v>
      </c>
      <c r="S129" s="473">
        <f t="shared" si="83"/>
        <v>194.08999999999997</v>
      </c>
      <c r="T129" s="474">
        <f t="shared" si="84"/>
        <v>100.21</v>
      </c>
      <c r="U129" s="738">
        <f t="shared" si="85"/>
        <v>0</v>
      </c>
      <c r="V129" s="476">
        <f t="shared" si="86"/>
        <v>0</v>
      </c>
      <c r="W129" s="477">
        <f t="shared" si="87"/>
        <v>100.21</v>
      </c>
      <c r="X129" s="444">
        <f t="shared" si="88"/>
        <v>19627.890000000003</v>
      </c>
      <c r="Y129" s="444">
        <f t="shared" si="89"/>
        <v>20183.25</v>
      </c>
      <c r="Z129" s="515">
        <f t="shared" si="90"/>
        <v>20183.25</v>
      </c>
    </row>
    <row r="130" spans="1:26" ht="18.75">
      <c r="A130" s="431" t="s">
        <v>10</v>
      </c>
      <c r="B130" s="428">
        <f t="shared" si="76"/>
        <v>9659.750000000085</v>
      </c>
      <c r="C130" s="692">
        <v>7795.77</v>
      </c>
      <c r="D130" s="628">
        <v>7327.02</v>
      </c>
      <c r="E130" s="428"/>
      <c r="F130" s="428">
        <f t="shared" si="80"/>
        <v>10128.500000000084</v>
      </c>
      <c r="G130" s="285">
        <f t="shared" si="77"/>
        <v>0</v>
      </c>
      <c r="H130" s="602"/>
      <c r="I130" s="1030">
        <v>0</v>
      </c>
      <c r="J130" s="285">
        <f t="shared" si="81"/>
        <v>0</v>
      </c>
      <c r="K130" s="302">
        <f t="shared" si="78"/>
        <v>0</v>
      </c>
      <c r="L130" s="526"/>
      <c r="M130" s="1031"/>
      <c r="N130" s="302">
        <f t="shared" si="82"/>
        <v>0</v>
      </c>
      <c r="O130" s="636">
        <f t="shared" si="79"/>
        <v>0.7799999999999869</v>
      </c>
      <c r="P130" s="634">
        <v>6.94</v>
      </c>
      <c r="Q130" s="301"/>
      <c r="R130" s="634">
        <v>0.53</v>
      </c>
      <c r="S130" s="473">
        <f t="shared" si="83"/>
        <v>7.189999999999987</v>
      </c>
      <c r="T130" s="474">
        <f t="shared" si="84"/>
        <v>0.53</v>
      </c>
      <c r="U130" s="475">
        <f t="shared" si="85"/>
        <v>0</v>
      </c>
      <c r="V130" s="476">
        <f t="shared" si="86"/>
        <v>0</v>
      </c>
      <c r="W130" s="477">
        <f t="shared" si="87"/>
        <v>0.53</v>
      </c>
      <c r="X130" s="444">
        <f t="shared" si="88"/>
        <v>7802.71</v>
      </c>
      <c r="Y130" s="444">
        <f t="shared" si="89"/>
        <v>7327.55</v>
      </c>
      <c r="Z130" s="515">
        <f t="shared" si="90"/>
        <v>7327.55</v>
      </c>
    </row>
    <row r="131" spans="1:26" ht="18.75">
      <c r="A131" s="431" t="s">
        <v>11</v>
      </c>
      <c r="B131" s="428">
        <f t="shared" si="76"/>
        <v>8204.280000000042</v>
      </c>
      <c r="C131" s="692">
        <v>7768.21</v>
      </c>
      <c r="D131" s="628">
        <v>7731.11</v>
      </c>
      <c r="E131" s="428"/>
      <c r="F131" s="428">
        <f t="shared" si="80"/>
        <v>8241.380000000041</v>
      </c>
      <c r="G131" s="285">
        <f t="shared" si="77"/>
        <v>0</v>
      </c>
      <c r="H131" s="602"/>
      <c r="I131" s="1030">
        <v>0</v>
      </c>
      <c r="J131" s="285">
        <f t="shared" si="81"/>
        <v>0</v>
      </c>
      <c r="K131" s="302">
        <f t="shared" si="78"/>
        <v>0</v>
      </c>
      <c r="L131" s="526"/>
      <c r="M131" s="1031"/>
      <c r="N131" s="302">
        <f t="shared" si="82"/>
        <v>0</v>
      </c>
      <c r="O131" s="636">
        <f t="shared" si="79"/>
        <v>41.42</v>
      </c>
      <c r="P131" s="634">
        <v>2.29</v>
      </c>
      <c r="Q131" s="301"/>
      <c r="R131" s="634">
        <v>2.29</v>
      </c>
      <c r="S131" s="473">
        <f t="shared" si="83"/>
        <v>41.42</v>
      </c>
      <c r="T131" s="474">
        <f t="shared" si="84"/>
        <v>2.29</v>
      </c>
      <c r="U131" s="475">
        <f t="shared" si="85"/>
        <v>0</v>
      </c>
      <c r="V131" s="476">
        <f t="shared" si="86"/>
        <v>0</v>
      </c>
      <c r="W131" s="477">
        <f t="shared" si="87"/>
        <v>2.29</v>
      </c>
      <c r="X131" s="444">
        <f t="shared" si="88"/>
        <v>7770.5</v>
      </c>
      <c r="Y131" s="444">
        <f t="shared" si="89"/>
        <v>7733.4</v>
      </c>
      <c r="Z131" s="515">
        <f t="shared" si="90"/>
        <v>7733.4</v>
      </c>
    </row>
    <row r="132" spans="1:26" ht="18.75">
      <c r="A132" s="431" t="s">
        <v>12</v>
      </c>
      <c r="B132" s="428">
        <f t="shared" si="76"/>
        <v>87393.90000000023</v>
      </c>
      <c r="C132" s="692">
        <v>44459.32</v>
      </c>
      <c r="D132" s="628">
        <v>49980.99</v>
      </c>
      <c r="E132" s="428"/>
      <c r="F132" s="428">
        <f t="shared" si="80"/>
        <v>81872.23000000024</v>
      </c>
      <c r="G132" s="285">
        <f t="shared" si="77"/>
        <v>8276.479999999996</v>
      </c>
      <c r="H132" s="602">
        <v>517.28</v>
      </c>
      <c r="I132" s="1030">
        <v>0</v>
      </c>
      <c r="J132" s="285">
        <f t="shared" si="81"/>
        <v>8793.759999999997</v>
      </c>
      <c r="K132" s="302">
        <f t="shared" si="78"/>
        <v>1508.3999999999987</v>
      </c>
      <c r="L132" s="526">
        <v>1526.4</v>
      </c>
      <c r="M132" s="1031">
        <v>1526.4</v>
      </c>
      <c r="N132" s="302">
        <f t="shared" si="82"/>
        <v>1508.3999999999987</v>
      </c>
      <c r="O132" s="636">
        <f t="shared" si="79"/>
        <v>392.59</v>
      </c>
      <c r="P132" s="634">
        <v>296.09</v>
      </c>
      <c r="Q132" s="301"/>
      <c r="R132" s="634">
        <v>392.57</v>
      </c>
      <c r="S132" s="473">
        <f t="shared" si="83"/>
        <v>296.10999999999996</v>
      </c>
      <c r="T132" s="474">
        <f t="shared" si="84"/>
        <v>392.57</v>
      </c>
      <c r="U132" s="475">
        <f t="shared" si="85"/>
        <v>1526.4</v>
      </c>
      <c r="V132" s="476">
        <f t="shared" si="86"/>
        <v>0</v>
      </c>
      <c r="W132" s="477">
        <f t="shared" si="87"/>
        <v>1918.97</v>
      </c>
      <c r="X132" s="444">
        <f t="shared" si="88"/>
        <v>46799.09</v>
      </c>
      <c r="Y132" s="444">
        <f t="shared" si="89"/>
        <v>51899.96</v>
      </c>
      <c r="Z132" s="515">
        <f t="shared" si="90"/>
        <v>50373.56</v>
      </c>
    </row>
    <row r="133" spans="1:26" ht="18.75">
      <c r="A133" s="431" t="s">
        <v>13</v>
      </c>
      <c r="B133" s="428">
        <f t="shared" si="76"/>
        <v>48622.72000000002</v>
      </c>
      <c r="C133" s="692">
        <v>26273.16</v>
      </c>
      <c r="D133" s="628">
        <v>23843.48</v>
      </c>
      <c r="E133" s="428"/>
      <c r="F133" s="428">
        <f t="shared" si="80"/>
        <v>51052.40000000002</v>
      </c>
      <c r="G133" s="285">
        <f t="shared" si="77"/>
        <v>2964.2899999999986</v>
      </c>
      <c r="H133" s="602">
        <v>174.37</v>
      </c>
      <c r="I133" s="1030">
        <v>0</v>
      </c>
      <c r="J133" s="285">
        <f t="shared" si="81"/>
        <v>3138.6599999999985</v>
      </c>
      <c r="K133" s="302">
        <f t="shared" si="78"/>
        <v>-2290.02</v>
      </c>
      <c r="L133" s="526">
        <v>645.01</v>
      </c>
      <c r="M133" s="1031"/>
      <c r="N133" s="302">
        <f t="shared" si="82"/>
        <v>-1645.01</v>
      </c>
      <c r="O133" s="636">
        <f t="shared" si="79"/>
        <v>79.6700000000001</v>
      </c>
      <c r="P133" s="634">
        <v>29.54</v>
      </c>
      <c r="Q133" s="301"/>
      <c r="R133" s="634">
        <v>28.61</v>
      </c>
      <c r="S133" s="473">
        <f t="shared" si="83"/>
        <v>80.6000000000001</v>
      </c>
      <c r="T133" s="474">
        <f t="shared" si="84"/>
        <v>28.61</v>
      </c>
      <c r="U133" s="475">
        <f t="shared" si="85"/>
        <v>0</v>
      </c>
      <c r="V133" s="476">
        <f t="shared" si="86"/>
        <v>0</v>
      </c>
      <c r="W133" s="477">
        <f t="shared" si="87"/>
        <v>28.61</v>
      </c>
      <c r="X133" s="444">
        <f t="shared" si="88"/>
        <v>27122.079999999998</v>
      </c>
      <c r="Y133" s="444">
        <f t="shared" si="89"/>
        <v>23872.09</v>
      </c>
      <c r="Z133" s="515">
        <f t="shared" si="90"/>
        <v>23872.09</v>
      </c>
    </row>
    <row r="134" spans="1:26" ht="18.75">
      <c r="A134" s="431" t="s">
        <v>14</v>
      </c>
      <c r="B134" s="428">
        <f t="shared" si="76"/>
        <v>53788.02000000006</v>
      </c>
      <c r="C134" s="692">
        <v>32415.33</v>
      </c>
      <c r="D134" s="628">
        <v>31670.97</v>
      </c>
      <c r="E134" s="428"/>
      <c r="F134" s="428">
        <f t="shared" si="80"/>
        <v>54532.38000000006</v>
      </c>
      <c r="G134" s="285">
        <f t="shared" si="77"/>
        <v>4498.6399999999985</v>
      </c>
      <c r="H134" s="602">
        <v>184.44</v>
      </c>
      <c r="I134" s="1030">
        <v>0</v>
      </c>
      <c r="J134" s="285">
        <f t="shared" si="81"/>
        <v>4683.079999999998</v>
      </c>
      <c r="K134" s="302">
        <f t="shared" si="78"/>
        <v>4621.4299999999985</v>
      </c>
      <c r="L134" s="526">
        <f>2408.85</f>
        <v>2408.85</v>
      </c>
      <c r="M134" s="1031">
        <v>1342.49</v>
      </c>
      <c r="N134" s="302">
        <f t="shared" si="82"/>
        <v>5687.789999999999</v>
      </c>
      <c r="O134" s="636">
        <f t="shared" si="79"/>
        <v>-407.74</v>
      </c>
      <c r="P134" s="634">
        <v>4.19</v>
      </c>
      <c r="Q134" s="301"/>
      <c r="R134" s="634">
        <v>3.98</v>
      </c>
      <c r="S134" s="473">
        <f t="shared" si="83"/>
        <v>-407.53000000000003</v>
      </c>
      <c r="T134" s="474">
        <f t="shared" si="84"/>
        <v>3.98</v>
      </c>
      <c r="U134" s="475">
        <f t="shared" si="85"/>
        <v>1342.49</v>
      </c>
      <c r="V134" s="476">
        <f t="shared" si="86"/>
        <v>0</v>
      </c>
      <c r="W134" s="477">
        <f t="shared" si="87"/>
        <v>1346.47</v>
      </c>
      <c r="X134" s="444">
        <f t="shared" si="88"/>
        <v>35012.810000000005</v>
      </c>
      <c r="Y134" s="444">
        <f t="shared" si="89"/>
        <v>33017.44</v>
      </c>
      <c r="Z134" s="515">
        <f t="shared" si="90"/>
        <v>31674.95</v>
      </c>
    </row>
    <row r="135" spans="1:26" ht="18.75">
      <c r="A135" s="431" t="s">
        <v>55</v>
      </c>
      <c r="B135" s="428">
        <f t="shared" si="76"/>
        <v>42821.26000000001</v>
      </c>
      <c r="C135" s="628">
        <v>14758.92</v>
      </c>
      <c r="D135" s="628">
        <v>14136.23</v>
      </c>
      <c r="E135" s="428"/>
      <c r="F135" s="428">
        <f t="shared" si="80"/>
        <v>43443.95000000001</v>
      </c>
      <c r="G135" s="285">
        <f t="shared" si="77"/>
        <v>2968</v>
      </c>
      <c r="H135" s="602">
        <v>185.5</v>
      </c>
      <c r="I135" s="1030">
        <v>0</v>
      </c>
      <c r="J135" s="285">
        <f t="shared" si="81"/>
        <v>3153.5</v>
      </c>
      <c r="K135" s="302">
        <f t="shared" si="78"/>
        <v>2606.660000000002</v>
      </c>
      <c r="L135" s="526">
        <v>372.59</v>
      </c>
      <c r="M135" s="1031">
        <v>1117.77</v>
      </c>
      <c r="N135" s="302">
        <f t="shared" si="82"/>
        <v>1861.4800000000023</v>
      </c>
      <c r="O135" s="636">
        <f t="shared" si="79"/>
        <v>-84.25999999999999</v>
      </c>
      <c r="P135" s="634">
        <v>8.64</v>
      </c>
      <c r="Q135" s="301"/>
      <c r="R135" s="634">
        <v>8.64</v>
      </c>
      <c r="S135" s="473">
        <f t="shared" si="83"/>
        <v>-84.25999999999999</v>
      </c>
      <c r="T135" s="474">
        <f t="shared" si="84"/>
        <v>8.64</v>
      </c>
      <c r="U135" s="475">
        <f t="shared" si="85"/>
        <v>1117.77</v>
      </c>
      <c r="V135" s="476">
        <f t="shared" si="86"/>
        <v>0</v>
      </c>
      <c r="W135" s="477">
        <f t="shared" si="87"/>
        <v>1126.41</v>
      </c>
      <c r="X135" s="444">
        <f t="shared" si="88"/>
        <v>15325.65</v>
      </c>
      <c r="Y135" s="444">
        <f t="shared" si="89"/>
        <v>15262.64</v>
      </c>
      <c r="Z135" s="515">
        <f t="shared" si="90"/>
        <v>14144.869999999999</v>
      </c>
    </row>
    <row r="136" spans="1:26" ht="18.75">
      <c r="A136" s="431" t="s">
        <v>15</v>
      </c>
      <c r="B136" s="428">
        <f t="shared" si="76"/>
        <v>103215.95000000033</v>
      </c>
      <c r="C136" s="628">
        <v>34705.99</v>
      </c>
      <c r="D136" s="628">
        <v>32657.05</v>
      </c>
      <c r="E136" s="428"/>
      <c r="F136" s="428">
        <f t="shared" si="80"/>
        <v>105264.89000000032</v>
      </c>
      <c r="G136" s="285">
        <f t="shared" si="77"/>
        <v>0</v>
      </c>
      <c r="H136" s="602"/>
      <c r="I136" s="1030">
        <v>0</v>
      </c>
      <c r="J136" s="285">
        <f t="shared" si="81"/>
        <v>0</v>
      </c>
      <c r="K136" s="302">
        <f t="shared" si="78"/>
        <v>-2497.36</v>
      </c>
      <c r="L136" s="526">
        <v>354.57</v>
      </c>
      <c r="M136" s="1031"/>
      <c r="N136" s="302">
        <f t="shared" si="82"/>
        <v>-2142.79</v>
      </c>
      <c r="O136" s="636">
        <f t="shared" si="79"/>
        <v>478.3399999999998</v>
      </c>
      <c r="P136" s="634">
        <v>112.77</v>
      </c>
      <c r="Q136" s="301"/>
      <c r="R136" s="634">
        <v>124.97</v>
      </c>
      <c r="S136" s="473">
        <f t="shared" si="83"/>
        <v>466.13999999999976</v>
      </c>
      <c r="T136" s="474">
        <f t="shared" si="84"/>
        <v>124.97</v>
      </c>
      <c r="U136" s="475">
        <f t="shared" si="85"/>
        <v>0</v>
      </c>
      <c r="V136" s="476">
        <f t="shared" si="86"/>
        <v>0</v>
      </c>
      <c r="W136" s="477">
        <f t="shared" si="87"/>
        <v>124.97</v>
      </c>
      <c r="X136" s="444">
        <f t="shared" si="88"/>
        <v>35173.329999999994</v>
      </c>
      <c r="Y136" s="444">
        <f t="shared" si="89"/>
        <v>32782.02</v>
      </c>
      <c r="Z136" s="515">
        <f t="shared" si="90"/>
        <v>32782.02</v>
      </c>
    </row>
    <row r="137" spans="1:26" ht="18.75">
      <c r="A137" s="431" t="s">
        <v>16</v>
      </c>
      <c r="B137" s="428">
        <f t="shared" si="76"/>
        <v>34369.050000000076</v>
      </c>
      <c r="C137" s="628">
        <v>28244.23</v>
      </c>
      <c r="D137" s="632">
        <v>29065.34</v>
      </c>
      <c r="E137" s="448"/>
      <c r="F137" s="428">
        <f t="shared" si="80"/>
        <v>33547.940000000075</v>
      </c>
      <c r="G137" s="285">
        <f t="shared" si="77"/>
        <v>0</v>
      </c>
      <c r="H137" s="602"/>
      <c r="I137" s="1030">
        <v>0</v>
      </c>
      <c r="J137" s="285">
        <f t="shared" si="81"/>
        <v>0</v>
      </c>
      <c r="K137" s="302">
        <f t="shared" si="78"/>
        <v>1163.880000000002</v>
      </c>
      <c r="L137" s="526">
        <v>290.97</v>
      </c>
      <c r="M137" s="1031"/>
      <c r="N137" s="302">
        <f t="shared" si="82"/>
        <v>1454.850000000002</v>
      </c>
      <c r="O137" s="636">
        <f t="shared" si="79"/>
        <v>82.75999999999998</v>
      </c>
      <c r="P137" s="634">
        <v>21.82</v>
      </c>
      <c r="Q137" s="301"/>
      <c r="R137" s="634">
        <v>21.3</v>
      </c>
      <c r="S137" s="473">
        <f t="shared" si="83"/>
        <v>83.27999999999999</v>
      </c>
      <c r="T137" s="474">
        <f t="shared" si="84"/>
        <v>21.3</v>
      </c>
      <c r="U137" s="475">
        <f t="shared" si="85"/>
        <v>0</v>
      </c>
      <c r="V137" s="476">
        <f t="shared" si="86"/>
        <v>0</v>
      </c>
      <c r="W137" s="477">
        <f t="shared" si="87"/>
        <v>21.3</v>
      </c>
      <c r="X137" s="444">
        <f t="shared" si="88"/>
        <v>28557.02</v>
      </c>
      <c r="Y137" s="444">
        <f t="shared" si="89"/>
        <v>29086.64</v>
      </c>
      <c r="Z137" s="515">
        <f t="shared" si="90"/>
        <v>29086.64</v>
      </c>
    </row>
    <row r="138" spans="1:26" ht="18.75">
      <c r="A138" s="431" t="s">
        <v>17</v>
      </c>
      <c r="B138" s="428">
        <f t="shared" si="76"/>
        <v>52960.75000000028</v>
      </c>
      <c r="C138" s="628">
        <v>36774.58</v>
      </c>
      <c r="D138" s="628">
        <v>38689.84</v>
      </c>
      <c r="E138" s="428"/>
      <c r="F138" s="428">
        <f t="shared" si="80"/>
        <v>51045.49000000028</v>
      </c>
      <c r="G138" s="285">
        <f t="shared" si="77"/>
        <v>5893.600000000002</v>
      </c>
      <c r="H138" s="602">
        <v>368.35</v>
      </c>
      <c r="I138" s="1030">
        <v>0</v>
      </c>
      <c r="J138" s="285">
        <f t="shared" si="81"/>
        <v>6261.950000000003</v>
      </c>
      <c r="K138" s="302">
        <f t="shared" si="78"/>
        <v>619.5699999999999</v>
      </c>
      <c r="L138" s="526">
        <v>619.57</v>
      </c>
      <c r="M138" s="1031">
        <v>619.57</v>
      </c>
      <c r="N138" s="302">
        <f t="shared" si="82"/>
        <v>619.5699999999998</v>
      </c>
      <c r="O138" s="636">
        <f t="shared" si="79"/>
        <v>35.52000000000004</v>
      </c>
      <c r="P138" s="634">
        <v>53.66</v>
      </c>
      <c r="Q138" s="301"/>
      <c r="R138" s="634">
        <v>29.46</v>
      </c>
      <c r="S138" s="473">
        <f t="shared" si="83"/>
        <v>59.720000000000034</v>
      </c>
      <c r="T138" s="474">
        <f t="shared" si="84"/>
        <v>29.46</v>
      </c>
      <c r="U138" s="738">
        <f t="shared" si="85"/>
        <v>619.57</v>
      </c>
      <c r="V138" s="476">
        <f t="shared" si="86"/>
        <v>0</v>
      </c>
      <c r="W138" s="477">
        <f t="shared" si="87"/>
        <v>649.0300000000001</v>
      </c>
      <c r="X138" s="444">
        <f t="shared" si="88"/>
        <v>37816.16</v>
      </c>
      <c r="Y138" s="444">
        <f t="shared" si="89"/>
        <v>39338.869999999995</v>
      </c>
      <c r="Z138" s="515">
        <f t="shared" si="90"/>
        <v>38719.299999999996</v>
      </c>
    </row>
    <row r="139" spans="1:26" ht="18.75">
      <c r="A139" s="431" t="s">
        <v>18</v>
      </c>
      <c r="B139" s="428">
        <f t="shared" si="76"/>
        <v>153761.34000000005</v>
      </c>
      <c r="C139" s="628">
        <v>78553.42</v>
      </c>
      <c r="D139" s="628">
        <v>80560.89</v>
      </c>
      <c r="E139" s="428"/>
      <c r="F139" s="428">
        <f t="shared" si="80"/>
        <v>151753.87000000005</v>
      </c>
      <c r="G139" s="285">
        <f t="shared" si="77"/>
        <v>840.0499999999986</v>
      </c>
      <c r="H139" s="602"/>
      <c r="I139" s="1030">
        <v>0</v>
      </c>
      <c r="J139" s="285">
        <f t="shared" si="81"/>
        <v>840.0499999999986</v>
      </c>
      <c r="K139" s="302">
        <f t="shared" si="78"/>
        <v>2351.08</v>
      </c>
      <c r="L139" s="526">
        <v>2216.46</v>
      </c>
      <c r="M139" s="1031">
        <f>185.5+2643.64</f>
        <v>2829.14</v>
      </c>
      <c r="N139" s="302">
        <f t="shared" si="82"/>
        <v>1738.4</v>
      </c>
      <c r="O139" s="636">
        <f t="shared" si="79"/>
        <v>348.22000000000014</v>
      </c>
      <c r="P139" s="634">
        <v>15.51</v>
      </c>
      <c r="Q139" s="301"/>
      <c r="R139" s="634">
        <v>35.11</v>
      </c>
      <c r="S139" s="473">
        <f t="shared" si="83"/>
        <v>328.6200000000001</v>
      </c>
      <c r="T139" s="474">
        <f t="shared" si="84"/>
        <v>35.11</v>
      </c>
      <c r="U139" s="475">
        <f t="shared" si="85"/>
        <v>2829.14</v>
      </c>
      <c r="V139" s="476">
        <f t="shared" si="86"/>
        <v>0</v>
      </c>
      <c r="W139" s="477">
        <f t="shared" si="87"/>
        <v>2864.25</v>
      </c>
      <c r="X139" s="444">
        <f t="shared" si="88"/>
        <v>80785.39</v>
      </c>
      <c r="Y139" s="444">
        <f t="shared" si="89"/>
        <v>83425.14</v>
      </c>
      <c r="Z139" s="515">
        <f t="shared" si="90"/>
        <v>80596</v>
      </c>
    </row>
    <row r="140" spans="1:26" ht="18.75">
      <c r="A140" s="431" t="s">
        <v>54</v>
      </c>
      <c r="B140" s="428">
        <f t="shared" si="76"/>
        <v>67019.94000000032</v>
      </c>
      <c r="C140" s="628">
        <v>33612.07</v>
      </c>
      <c r="D140" s="628">
        <v>34124.23</v>
      </c>
      <c r="E140" s="428"/>
      <c r="F140" s="428">
        <f t="shared" si="80"/>
        <v>66507.78000000032</v>
      </c>
      <c r="G140" s="285">
        <f t="shared" si="77"/>
        <v>5091.060000000002</v>
      </c>
      <c r="H140" s="602">
        <v>261.82</v>
      </c>
      <c r="I140" s="1030">
        <v>0</v>
      </c>
      <c r="J140" s="285">
        <f t="shared" si="81"/>
        <v>5352.880000000002</v>
      </c>
      <c r="K140" s="302">
        <f t="shared" si="78"/>
        <v>0</v>
      </c>
      <c r="L140" s="526"/>
      <c r="M140" s="1031"/>
      <c r="N140" s="302">
        <f t="shared" si="82"/>
        <v>0</v>
      </c>
      <c r="O140" s="636">
        <f t="shared" si="79"/>
        <v>-1068.56</v>
      </c>
      <c r="P140" s="634">
        <v>165.39</v>
      </c>
      <c r="Q140" s="301"/>
      <c r="R140" s="634">
        <f>45.71+6.06</f>
        <v>51.77</v>
      </c>
      <c r="S140" s="473">
        <f t="shared" si="83"/>
        <v>-954.9399999999999</v>
      </c>
      <c r="T140" s="474">
        <f t="shared" si="84"/>
        <v>51.77</v>
      </c>
      <c r="U140" s="475">
        <f t="shared" si="85"/>
        <v>0</v>
      </c>
      <c r="V140" s="476">
        <f t="shared" si="86"/>
        <v>0</v>
      </c>
      <c r="W140" s="477">
        <f t="shared" si="87"/>
        <v>51.77</v>
      </c>
      <c r="X140" s="444">
        <f t="shared" si="88"/>
        <v>34039.28</v>
      </c>
      <c r="Y140" s="444">
        <f t="shared" si="89"/>
        <v>34176</v>
      </c>
      <c r="Z140" s="515">
        <f t="shared" si="90"/>
        <v>34176</v>
      </c>
    </row>
    <row r="141" spans="1:26" ht="18.75">
      <c r="A141" s="431" t="s">
        <v>49</v>
      </c>
      <c r="B141" s="428">
        <f t="shared" si="76"/>
        <v>185091.24000000022</v>
      </c>
      <c r="C141" s="628">
        <v>71492.25</v>
      </c>
      <c r="D141" s="628">
        <v>64287.84</v>
      </c>
      <c r="E141" s="428"/>
      <c r="F141" s="428">
        <f t="shared" si="80"/>
        <v>192295.65000000023</v>
      </c>
      <c r="G141" s="285">
        <f t="shared" si="77"/>
        <v>13076.160000000002</v>
      </c>
      <c r="H141" s="602">
        <v>817.26</v>
      </c>
      <c r="I141" s="1030">
        <v>0</v>
      </c>
      <c r="J141" s="285">
        <f t="shared" si="81"/>
        <v>13893.420000000002</v>
      </c>
      <c r="K141" s="302">
        <f t="shared" si="78"/>
        <v>2682.4400000000032</v>
      </c>
      <c r="L141" s="526">
        <f>3556.3-537.42</f>
        <v>3018.88</v>
      </c>
      <c r="M141" s="1031">
        <v>1040.92</v>
      </c>
      <c r="N141" s="302">
        <f t="shared" si="82"/>
        <v>4660.400000000003</v>
      </c>
      <c r="O141" s="636">
        <f t="shared" si="79"/>
        <v>-1058.23</v>
      </c>
      <c r="P141" s="634">
        <v>84.05</v>
      </c>
      <c r="Q141" s="301"/>
      <c r="R141" s="634">
        <v>82.37</v>
      </c>
      <c r="S141" s="473">
        <f t="shared" si="83"/>
        <v>-1056.5500000000002</v>
      </c>
      <c r="T141" s="474">
        <f t="shared" si="84"/>
        <v>82.37</v>
      </c>
      <c r="U141" s="475">
        <f t="shared" si="85"/>
        <v>1040.92</v>
      </c>
      <c r="V141" s="476">
        <f t="shared" si="86"/>
        <v>0</v>
      </c>
      <c r="W141" s="477">
        <f t="shared" si="87"/>
        <v>1123.29</v>
      </c>
      <c r="X141" s="444">
        <f t="shared" si="88"/>
        <v>75412.44</v>
      </c>
      <c r="Y141" s="444">
        <f t="shared" si="89"/>
        <v>65411.13</v>
      </c>
      <c r="Z141" s="515">
        <f t="shared" si="90"/>
        <v>64370.21</v>
      </c>
    </row>
    <row r="142" spans="1:26" ht="18.75">
      <c r="A142" s="431" t="s">
        <v>19</v>
      </c>
      <c r="B142" s="428">
        <f t="shared" si="76"/>
        <v>83292.01999999999</v>
      </c>
      <c r="C142" s="628">
        <v>52752.49</v>
      </c>
      <c r="D142" s="628">
        <v>51074.18</v>
      </c>
      <c r="E142" s="428"/>
      <c r="F142" s="428">
        <f t="shared" si="80"/>
        <v>84970.32999999999</v>
      </c>
      <c r="G142" s="285">
        <f t="shared" si="77"/>
        <v>6112.609999999997</v>
      </c>
      <c r="H142" s="602">
        <v>356.69</v>
      </c>
      <c r="I142" s="1030">
        <v>0</v>
      </c>
      <c r="J142" s="285">
        <f t="shared" si="81"/>
        <v>6469.2999999999965</v>
      </c>
      <c r="K142" s="302">
        <f t="shared" si="78"/>
        <v>846.0000000000005</v>
      </c>
      <c r="L142" s="526">
        <v>1041.98</v>
      </c>
      <c r="M142" s="1031"/>
      <c r="N142" s="302">
        <f t="shared" si="82"/>
        <v>1887.9800000000005</v>
      </c>
      <c r="O142" s="636">
        <f t="shared" si="79"/>
        <v>1374.6600000000003</v>
      </c>
      <c r="P142" s="634">
        <v>230.46</v>
      </c>
      <c r="Q142" s="301"/>
      <c r="R142" s="634">
        <v>294.62</v>
      </c>
      <c r="S142" s="473">
        <f t="shared" si="83"/>
        <v>1310.5000000000005</v>
      </c>
      <c r="T142" s="474">
        <f t="shared" si="84"/>
        <v>294.62</v>
      </c>
      <c r="U142" s="738">
        <f t="shared" si="85"/>
        <v>0</v>
      </c>
      <c r="V142" s="476">
        <f t="shared" si="86"/>
        <v>0</v>
      </c>
      <c r="W142" s="477">
        <f t="shared" si="87"/>
        <v>294.62</v>
      </c>
      <c r="X142" s="444">
        <f t="shared" si="88"/>
        <v>54381.62</v>
      </c>
      <c r="Y142" s="444">
        <f t="shared" si="89"/>
        <v>51368.8</v>
      </c>
      <c r="Z142" s="515">
        <f t="shared" si="90"/>
        <v>51368.8</v>
      </c>
    </row>
    <row r="143" spans="1:26" ht="18.75">
      <c r="A143" s="449" t="s">
        <v>20</v>
      </c>
      <c r="B143" s="428">
        <f t="shared" si="76"/>
        <v>58244.23000000007</v>
      </c>
      <c r="C143" s="629">
        <v>34274.05</v>
      </c>
      <c r="D143" s="629">
        <v>33589.8</v>
      </c>
      <c r="E143" s="450"/>
      <c r="F143" s="450">
        <f t="shared" si="80"/>
        <v>58928.48000000007</v>
      </c>
      <c r="G143" s="478">
        <f t="shared" si="77"/>
        <v>0</v>
      </c>
      <c r="H143" s="603"/>
      <c r="I143" s="1030">
        <v>0</v>
      </c>
      <c r="J143" s="478">
        <f t="shared" si="81"/>
        <v>0</v>
      </c>
      <c r="K143" s="479">
        <f t="shared" si="78"/>
        <v>4455.87</v>
      </c>
      <c r="L143" s="529">
        <v>689</v>
      </c>
      <c r="M143" s="914"/>
      <c r="N143" s="479">
        <f t="shared" si="82"/>
        <v>5144.87</v>
      </c>
      <c r="O143" s="636">
        <f t="shared" si="79"/>
        <v>105.80999999999993</v>
      </c>
      <c r="P143" s="633">
        <v>2.24</v>
      </c>
      <c r="Q143" s="480"/>
      <c r="R143" s="633">
        <v>2.24</v>
      </c>
      <c r="S143" s="473">
        <f t="shared" si="83"/>
        <v>105.80999999999993</v>
      </c>
      <c r="T143" s="474">
        <f t="shared" si="84"/>
        <v>2.24</v>
      </c>
      <c r="U143" s="481">
        <f t="shared" si="85"/>
        <v>0</v>
      </c>
      <c r="V143" s="482">
        <f t="shared" si="86"/>
        <v>0</v>
      </c>
      <c r="W143" s="483">
        <f t="shared" si="87"/>
        <v>2.24</v>
      </c>
      <c r="X143" s="444">
        <f t="shared" si="88"/>
        <v>34965.29</v>
      </c>
      <c r="Y143" s="444">
        <f t="shared" si="89"/>
        <v>33592.04</v>
      </c>
      <c r="Z143" s="515">
        <f t="shared" si="90"/>
        <v>33592.04</v>
      </c>
    </row>
    <row r="144" spans="1:26" ht="24" customHeight="1">
      <c r="A144" s="398" t="s">
        <v>114</v>
      </c>
      <c r="B144" s="428">
        <f t="shared" si="76"/>
        <v>-431553.5400000004</v>
      </c>
      <c r="C144" s="629">
        <v>41829.72</v>
      </c>
      <c r="D144" s="629">
        <v>41769.85</v>
      </c>
      <c r="E144" s="450"/>
      <c r="F144" s="450">
        <f t="shared" si="80"/>
        <v>-431493.6700000004</v>
      </c>
      <c r="G144" s="478">
        <f t="shared" si="77"/>
        <v>806.1299999999999</v>
      </c>
      <c r="H144" s="600">
        <v>268.71</v>
      </c>
      <c r="I144" s="1030">
        <v>0</v>
      </c>
      <c r="J144" s="478">
        <f t="shared" si="81"/>
        <v>1074.84</v>
      </c>
      <c r="K144" s="479">
        <f t="shared" si="78"/>
        <v>1421.6599999999999</v>
      </c>
      <c r="L144" s="977">
        <v>1421.46</v>
      </c>
      <c r="M144" s="1031">
        <v>1421.46</v>
      </c>
      <c r="N144" s="479">
        <f t="shared" si="82"/>
        <v>1421.6599999999999</v>
      </c>
      <c r="O144" s="636">
        <f t="shared" si="79"/>
        <v>4.25</v>
      </c>
      <c r="P144" s="633">
        <v>82.07</v>
      </c>
      <c r="Q144" s="480"/>
      <c r="R144" s="633">
        <v>51.43</v>
      </c>
      <c r="S144" s="473">
        <f t="shared" si="83"/>
        <v>34.88999999999999</v>
      </c>
      <c r="T144" s="474">
        <f t="shared" si="84"/>
        <v>51.43</v>
      </c>
      <c r="U144" s="481">
        <f t="shared" si="85"/>
        <v>1421.46</v>
      </c>
      <c r="V144" s="482">
        <f t="shared" si="86"/>
        <v>0</v>
      </c>
      <c r="W144" s="483">
        <f t="shared" si="87"/>
        <v>1472.89</v>
      </c>
      <c r="X144" s="444">
        <f t="shared" si="88"/>
        <v>43601.96</v>
      </c>
      <c r="Y144" s="444">
        <f t="shared" si="89"/>
        <v>43242.74</v>
      </c>
      <c r="Z144" s="515">
        <f t="shared" si="90"/>
        <v>41821.28</v>
      </c>
    </row>
    <row r="145" spans="1:26" ht="21" customHeight="1">
      <c r="A145" s="383" t="s">
        <v>124</v>
      </c>
      <c r="B145" s="428">
        <f t="shared" si="76"/>
        <v>112408.00000000009</v>
      </c>
      <c r="C145" s="629">
        <v>14903.07</v>
      </c>
      <c r="D145" s="629">
        <v>14951.55</v>
      </c>
      <c r="E145" s="450"/>
      <c r="F145" s="450">
        <f t="shared" si="80"/>
        <v>112359.52000000009</v>
      </c>
      <c r="G145" s="478">
        <f t="shared" si="77"/>
        <v>0</v>
      </c>
      <c r="H145" s="604"/>
      <c r="I145" s="1030">
        <v>0</v>
      </c>
      <c r="J145" s="478">
        <f t="shared" si="81"/>
        <v>0</v>
      </c>
      <c r="K145" s="479">
        <f t="shared" si="78"/>
        <v>0</v>
      </c>
      <c r="L145" s="965"/>
      <c r="M145" s="1032"/>
      <c r="N145" s="479">
        <f t="shared" si="82"/>
        <v>0</v>
      </c>
      <c r="O145" s="636">
        <f t="shared" si="79"/>
        <v>19.590000000000003</v>
      </c>
      <c r="P145" s="633">
        <v>16.22</v>
      </c>
      <c r="Q145" s="480"/>
      <c r="R145" s="633">
        <v>16.62</v>
      </c>
      <c r="S145" s="473">
        <f t="shared" si="83"/>
        <v>19.19</v>
      </c>
      <c r="T145" s="474">
        <f t="shared" si="84"/>
        <v>16.62</v>
      </c>
      <c r="U145" s="481">
        <f t="shared" si="85"/>
        <v>0</v>
      </c>
      <c r="V145" s="482">
        <f t="shared" si="86"/>
        <v>0</v>
      </c>
      <c r="W145" s="483">
        <f t="shared" si="87"/>
        <v>16.62</v>
      </c>
      <c r="X145" s="444">
        <f t="shared" si="88"/>
        <v>14919.289999999999</v>
      </c>
      <c r="Y145" s="444">
        <f t="shared" si="89"/>
        <v>14968.17</v>
      </c>
      <c r="Z145" s="515">
        <f t="shared" si="90"/>
        <v>14968.17</v>
      </c>
    </row>
    <row r="146" spans="1:26" ht="21" customHeight="1">
      <c r="A146" s="691" t="s">
        <v>188</v>
      </c>
      <c r="B146" s="428">
        <f t="shared" si="76"/>
        <v>16822.34999999994</v>
      </c>
      <c r="C146" s="629">
        <v>39551.25</v>
      </c>
      <c r="D146" s="629">
        <v>41444.79</v>
      </c>
      <c r="E146" s="450"/>
      <c r="F146" s="450">
        <f t="shared" si="80"/>
        <v>14928.80999999994</v>
      </c>
      <c r="G146" s="478">
        <f t="shared" si="77"/>
        <v>3389.88</v>
      </c>
      <c r="H146" s="604">
        <v>338.67</v>
      </c>
      <c r="I146" s="1030">
        <v>0</v>
      </c>
      <c r="J146" s="478">
        <f t="shared" si="81"/>
        <v>3728.55</v>
      </c>
      <c r="K146" s="479">
        <f t="shared" si="78"/>
        <v>-10909.329999999998</v>
      </c>
      <c r="L146" s="965">
        <f>666.74+435.13+359.87</f>
        <v>1461.7399999999998</v>
      </c>
      <c r="M146" s="914">
        <v>435.13</v>
      </c>
      <c r="N146" s="479">
        <f t="shared" si="82"/>
        <v>-9882.719999999998</v>
      </c>
      <c r="O146" s="636">
        <f t="shared" si="79"/>
        <v>-15788.95</v>
      </c>
      <c r="P146" s="633">
        <v>381.24</v>
      </c>
      <c r="Q146" s="480"/>
      <c r="R146" s="633">
        <f>342.7+817.33</f>
        <v>1160.03</v>
      </c>
      <c r="S146" s="473">
        <f t="shared" si="83"/>
        <v>-16567.74</v>
      </c>
      <c r="T146" s="474">
        <f t="shared" si="84"/>
        <v>1160.03</v>
      </c>
      <c r="U146" s="481">
        <f t="shared" si="85"/>
        <v>435.13</v>
      </c>
      <c r="V146" s="482">
        <f t="shared" si="86"/>
        <v>0</v>
      </c>
      <c r="W146" s="483">
        <f t="shared" si="87"/>
        <v>1595.1599999999999</v>
      </c>
      <c r="X146" s="444">
        <f t="shared" si="88"/>
        <v>41732.899999999994</v>
      </c>
      <c r="Y146" s="444">
        <f t="shared" si="89"/>
        <v>43039.95</v>
      </c>
      <c r="Z146" s="515">
        <f t="shared" si="90"/>
        <v>42604.82</v>
      </c>
    </row>
    <row r="147" spans="1:26" ht="21" customHeight="1">
      <c r="A147" s="691" t="s">
        <v>189</v>
      </c>
      <c r="B147" s="428">
        <f t="shared" si="76"/>
        <v>152448.10999999996</v>
      </c>
      <c r="C147" s="629">
        <v>45631.94</v>
      </c>
      <c r="D147" s="629">
        <v>67627.81</v>
      </c>
      <c r="E147" s="450"/>
      <c r="F147" s="450">
        <f t="shared" si="80"/>
        <v>130452.23999999996</v>
      </c>
      <c r="G147" s="478">
        <f t="shared" si="77"/>
        <v>12718.939999999999</v>
      </c>
      <c r="H147" s="604">
        <v>2162.4</v>
      </c>
      <c r="I147" s="1030">
        <v>0</v>
      </c>
      <c r="J147" s="478">
        <f t="shared" si="81"/>
        <v>14881.339999999998</v>
      </c>
      <c r="K147" s="479">
        <f t="shared" si="78"/>
        <v>-15827.209999999997</v>
      </c>
      <c r="L147" s="965">
        <f>701.19</f>
        <v>701.19</v>
      </c>
      <c r="M147" s="1033"/>
      <c r="N147" s="479">
        <f t="shared" si="82"/>
        <v>-15126.019999999997</v>
      </c>
      <c r="O147" s="636">
        <f t="shared" si="79"/>
        <v>-58435.119999999995</v>
      </c>
      <c r="P147" s="633">
        <v>526.54</v>
      </c>
      <c r="Q147" s="480"/>
      <c r="R147" s="633">
        <f>360.03+4719.39</f>
        <v>5079.42</v>
      </c>
      <c r="S147" s="473">
        <f t="shared" si="83"/>
        <v>-62987.99999999999</v>
      </c>
      <c r="T147" s="474">
        <f t="shared" si="84"/>
        <v>5079.42</v>
      </c>
      <c r="U147" s="481">
        <f t="shared" si="85"/>
        <v>0</v>
      </c>
      <c r="V147" s="482">
        <f t="shared" si="86"/>
        <v>0</v>
      </c>
      <c r="W147" s="483">
        <f t="shared" si="87"/>
        <v>5079.42</v>
      </c>
      <c r="X147" s="444">
        <f t="shared" si="88"/>
        <v>49022.07000000001</v>
      </c>
      <c r="Y147" s="444">
        <f t="shared" si="89"/>
        <v>72707.23</v>
      </c>
      <c r="Z147" s="515">
        <f t="shared" si="90"/>
        <v>72707.23</v>
      </c>
    </row>
    <row r="148" spans="1:26" ht="21" customHeight="1">
      <c r="A148" s="691" t="s">
        <v>251</v>
      </c>
      <c r="B148" s="428">
        <f t="shared" si="76"/>
        <v>137790.57</v>
      </c>
      <c r="C148" s="629">
        <v>42325.8</v>
      </c>
      <c r="D148" s="629">
        <v>62341.8</v>
      </c>
      <c r="E148" s="450"/>
      <c r="F148" s="450">
        <f t="shared" si="80"/>
        <v>117774.56999999999</v>
      </c>
      <c r="G148" s="478">
        <f t="shared" si="77"/>
        <v>0</v>
      </c>
      <c r="H148" s="604"/>
      <c r="I148" s="1030">
        <v>0</v>
      </c>
      <c r="J148" s="478">
        <f t="shared" si="81"/>
        <v>0</v>
      </c>
      <c r="K148" s="479">
        <f t="shared" si="78"/>
        <v>-62945.81</v>
      </c>
      <c r="L148" s="965"/>
      <c r="M148" s="1033">
        <v>1284.72</v>
      </c>
      <c r="N148" s="479">
        <f t="shared" si="82"/>
        <v>-64230.53</v>
      </c>
      <c r="O148" s="636">
        <f t="shared" si="79"/>
        <v>-71169.14000000001</v>
      </c>
      <c r="P148" s="633">
        <v>375.95</v>
      </c>
      <c r="Q148" s="480"/>
      <c r="R148" s="633">
        <f>192.79+1283.29</f>
        <v>1476.08</v>
      </c>
      <c r="S148" s="473">
        <f t="shared" si="83"/>
        <v>-72269.27000000002</v>
      </c>
      <c r="T148" s="474">
        <f t="shared" si="84"/>
        <v>1476.08</v>
      </c>
      <c r="U148" s="481">
        <f t="shared" si="85"/>
        <v>1284.72</v>
      </c>
      <c r="V148" s="482">
        <f t="shared" si="86"/>
        <v>0</v>
      </c>
      <c r="W148" s="483">
        <f t="shared" si="87"/>
        <v>2760.8</v>
      </c>
      <c r="X148" s="444">
        <f t="shared" si="88"/>
        <v>42701.75</v>
      </c>
      <c r="Y148" s="444">
        <f t="shared" si="89"/>
        <v>65102.600000000006</v>
      </c>
      <c r="Z148" s="515">
        <f t="shared" si="90"/>
        <v>63817.880000000005</v>
      </c>
    </row>
    <row r="149" spans="1:26" ht="21" customHeight="1">
      <c r="A149" s="691" t="s">
        <v>249</v>
      </c>
      <c r="B149" s="428">
        <f t="shared" si="76"/>
        <v>98636.95000000003</v>
      </c>
      <c r="C149" s="629">
        <v>15747.89</v>
      </c>
      <c r="D149" s="629">
        <v>17153.57</v>
      </c>
      <c r="E149" s="450"/>
      <c r="F149" s="450">
        <f t="shared" si="80"/>
        <v>97231.27000000002</v>
      </c>
      <c r="G149" s="478">
        <f t="shared" si="77"/>
        <v>0</v>
      </c>
      <c r="H149" s="604"/>
      <c r="I149" s="1030">
        <v>0</v>
      </c>
      <c r="J149" s="478">
        <f t="shared" si="81"/>
        <v>0</v>
      </c>
      <c r="K149" s="479">
        <f t="shared" si="78"/>
        <v>0</v>
      </c>
      <c r="L149" s="965">
        <v>0</v>
      </c>
      <c r="M149" s="479"/>
      <c r="N149" s="479">
        <f t="shared" si="82"/>
        <v>0</v>
      </c>
      <c r="O149" s="636">
        <f t="shared" si="79"/>
        <v>13926.34</v>
      </c>
      <c r="P149" s="633">
        <v>46.64</v>
      </c>
      <c r="Q149" s="480"/>
      <c r="R149" s="633">
        <f>0.47+164.39</f>
        <v>164.85999999999999</v>
      </c>
      <c r="S149" s="473">
        <f t="shared" si="83"/>
        <v>13808.119999999999</v>
      </c>
      <c r="T149" s="474">
        <f t="shared" si="84"/>
        <v>164.85999999999999</v>
      </c>
      <c r="U149" s="481">
        <f t="shared" si="85"/>
        <v>0</v>
      </c>
      <c r="V149" s="482">
        <f t="shared" si="86"/>
        <v>0</v>
      </c>
      <c r="W149" s="483">
        <f t="shared" si="87"/>
        <v>164.85999999999999</v>
      </c>
      <c r="X149" s="444">
        <f t="shared" si="88"/>
        <v>15794.529999999999</v>
      </c>
      <c r="Y149" s="444">
        <f t="shared" si="89"/>
        <v>17318.43</v>
      </c>
      <c r="Z149" s="515">
        <f t="shared" si="90"/>
        <v>17318.43</v>
      </c>
    </row>
    <row r="150" spans="1:26" ht="18.75">
      <c r="A150" s="484" t="s">
        <v>127</v>
      </c>
      <c r="B150" s="451">
        <f>SUM(B125:B149)</f>
        <v>1879035.3300000017</v>
      </c>
      <c r="C150" s="451">
        <f>SUM(C125:C149)</f>
        <v>837110.2000000001</v>
      </c>
      <c r="D150" s="451">
        <f>SUM(D125:D149)</f>
        <v>878547.63</v>
      </c>
      <c r="E150" s="452"/>
      <c r="F150" s="443">
        <f>SUM(F125:F149)</f>
        <v>1837597.9000000018</v>
      </c>
      <c r="G150" s="443">
        <f>SUM(G125:G149)</f>
        <v>148773.55</v>
      </c>
      <c r="H150" s="452">
        <f>SUM(H125:H147)</f>
        <v>10097.32</v>
      </c>
      <c r="I150" s="1036">
        <f>SUM(I125:I147)</f>
        <v>0</v>
      </c>
      <c r="J150" s="443">
        <f>SUM(J125:J149)</f>
        <v>158870.86999999997</v>
      </c>
      <c r="K150" s="443">
        <f>SUM(K125:K147)</f>
        <v>-18236.76999999999</v>
      </c>
      <c r="L150" s="627">
        <f>SUM(L125:L149)</f>
        <v>23057.059999999994</v>
      </c>
      <c r="M150" s="627">
        <f>SUM(M125:M149)</f>
        <v>13270.669999999998</v>
      </c>
      <c r="N150" s="443">
        <f>SUM(N125:N149)</f>
        <v>-71396.18999999999</v>
      </c>
      <c r="O150" s="638">
        <f>SUM(O125:O149)</f>
        <v>-134532.56000000003</v>
      </c>
      <c r="P150" s="442">
        <f>SUM(P125:P149)</f>
        <v>3154.9199999999996</v>
      </c>
      <c r="Q150" s="442"/>
      <c r="R150" s="442">
        <f>SUM(R125:R149)</f>
        <v>9539.08</v>
      </c>
      <c r="S150" s="443">
        <f>SUM(S125:S149)</f>
        <v>-140916.72000000003</v>
      </c>
      <c r="T150" s="442">
        <f>SUM(T125:T149)</f>
        <v>9539.08</v>
      </c>
      <c r="U150" s="443">
        <f>SUM(U125:U149)</f>
        <v>13270.669999999998</v>
      </c>
      <c r="V150" s="638">
        <f>SUM(V125:V149)</f>
        <v>0</v>
      </c>
      <c r="W150" s="443">
        <f t="shared" si="87"/>
        <v>22809.75</v>
      </c>
      <c r="X150" s="372">
        <f>SUM(X125:X149)</f>
        <v>873419.5000000002</v>
      </c>
      <c r="Y150" s="372">
        <f>SUM(Y125:Y149)</f>
        <v>901357.3800000001</v>
      </c>
      <c r="Z150" s="1035">
        <f>SUM(Z125:Z149)</f>
        <v>888086.7100000002</v>
      </c>
    </row>
    <row r="151" spans="1:26" s="667" customFormat="1" ht="18.75">
      <c r="A151" s="904"/>
      <c r="B151" s="905"/>
      <c r="C151" s="906"/>
      <c r="D151" s="907"/>
      <c r="E151" s="908"/>
      <c r="F151" s="909"/>
      <c r="G151" s="910"/>
      <c r="H151" s="911"/>
      <c r="I151" s="912"/>
      <c r="J151" s="909"/>
      <c r="K151" s="910"/>
      <c r="L151" s="913"/>
      <c r="M151" s="913"/>
      <c r="N151" s="738"/>
      <c r="O151" s="914"/>
      <c r="P151" s="915"/>
      <c r="Q151" s="915"/>
      <c r="R151" s="915"/>
      <c r="S151" s="738"/>
      <c r="T151" s="916"/>
      <c r="U151" s="917"/>
      <c r="V151" s="918"/>
      <c r="W151" s="909"/>
      <c r="X151" s="866"/>
      <c r="Y151" s="866"/>
      <c r="Z151" s="919"/>
    </row>
    <row r="152" spans="1:25" ht="33" customHeight="1">
      <c r="A152" s="434" t="s">
        <v>125</v>
      </c>
      <c r="B152" s="1623" t="s">
        <v>290</v>
      </c>
      <c r="C152" s="1597" t="s">
        <v>133</v>
      </c>
      <c r="D152" s="1598"/>
      <c r="E152" s="1598"/>
      <c r="F152" s="1599"/>
      <c r="G152" s="417" t="s">
        <v>27</v>
      </c>
      <c r="H152" s="1600" t="s">
        <v>3</v>
      </c>
      <c r="I152" s="1601"/>
      <c r="J152" s="1602"/>
      <c r="K152" s="418" t="s">
        <v>27</v>
      </c>
      <c r="L152" s="1570" t="s">
        <v>4</v>
      </c>
      <c r="M152" s="1570"/>
      <c r="N152" s="1570"/>
      <c r="O152" s="419" t="s">
        <v>27</v>
      </c>
      <c r="P152" s="1614" t="s">
        <v>23</v>
      </c>
      <c r="Q152" s="1614"/>
      <c r="R152" s="1614"/>
      <c r="S152" s="1614"/>
      <c r="T152" s="1609" t="s">
        <v>289</v>
      </c>
      <c r="U152" s="1610"/>
      <c r="V152" s="1610"/>
      <c r="W152" s="1611"/>
      <c r="X152" s="435"/>
      <c r="Y152" s="435"/>
    </row>
    <row r="153" spans="1:30" ht="37.5">
      <c r="A153" s="420" t="s">
        <v>1</v>
      </c>
      <c r="B153" s="1624"/>
      <c r="C153" s="421" t="s">
        <v>5</v>
      </c>
      <c r="D153" s="421" t="s">
        <v>6</v>
      </c>
      <c r="E153" s="421" t="s">
        <v>65</v>
      </c>
      <c r="F153" s="421" t="s">
        <v>7</v>
      </c>
      <c r="G153" s="422" t="s">
        <v>290</v>
      </c>
      <c r="H153" s="423" t="s">
        <v>5</v>
      </c>
      <c r="I153" s="423" t="s">
        <v>6</v>
      </c>
      <c r="J153" s="422" t="s">
        <v>171</v>
      </c>
      <c r="K153" s="424" t="s">
        <v>290</v>
      </c>
      <c r="L153" s="424" t="s">
        <v>5</v>
      </c>
      <c r="M153" s="424" t="s">
        <v>6</v>
      </c>
      <c r="N153" s="424" t="s">
        <v>25</v>
      </c>
      <c r="O153" s="425" t="s">
        <v>290</v>
      </c>
      <c r="P153" s="425" t="s">
        <v>5</v>
      </c>
      <c r="Q153" s="425" t="s">
        <v>64</v>
      </c>
      <c r="R153" s="425" t="s">
        <v>6</v>
      </c>
      <c r="S153" s="425" t="s">
        <v>25</v>
      </c>
      <c r="T153" s="296" t="s">
        <v>94</v>
      </c>
      <c r="U153" s="296" t="s">
        <v>69</v>
      </c>
      <c r="V153" s="296" t="s">
        <v>95</v>
      </c>
      <c r="W153" s="453" t="s">
        <v>154</v>
      </c>
      <c r="X153" s="426" t="s">
        <v>106</v>
      </c>
      <c r="Y153" s="426" t="s">
        <v>107</v>
      </c>
      <c r="Z153" s="572" t="s">
        <v>153</v>
      </c>
      <c r="AB153" s="1588" t="s">
        <v>170</v>
      </c>
      <c r="AC153" s="1589"/>
      <c r="AD153" s="1590"/>
    </row>
    <row r="154" spans="1:30" ht="18.75">
      <c r="A154" s="431" t="s">
        <v>47</v>
      </c>
      <c r="B154" s="428">
        <f aca="true" t="shared" si="91" ref="B154:B178">F125</f>
        <v>120045.74999999996</v>
      </c>
      <c r="C154" s="429">
        <v>13336.39</v>
      </c>
      <c r="D154" s="429">
        <v>13866.79</v>
      </c>
      <c r="E154" s="282"/>
      <c r="F154" s="428">
        <f aca="true" t="shared" si="92" ref="F154:F178">B154+C154-D154</f>
        <v>119515.34999999995</v>
      </c>
      <c r="G154" s="285">
        <f aca="true" t="shared" si="93" ref="G154:G178">J125</f>
        <v>22772.509999999984</v>
      </c>
      <c r="H154" s="601">
        <v>1334.01</v>
      </c>
      <c r="I154" s="1030">
        <v>0</v>
      </c>
      <c r="J154" s="285">
        <f>G154+H154-I154</f>
        <v>24106.519999999982</v>
      </c>
      <c r="K154" s="302">
        <f aca="true" t="shared" si="94" ref="K154:K178">N125</f>
        <v>-1093.3899999999994</v>
      </c>
      <c r="L154" s="526">
        <v>4271.8</v>
      </c>
      <c r="M154" s="1031">
        <v>8543.6</v>
      </c>
      <c r="N154" s="302">
        <f>K154+L154-M154</f>
        <v>-5365.19</v>
      </c>
      <c r="O154" s="301">
        <f aca="true" t="shared" si="95" ref="O154:O178">S125</f>
        <v>-1450.5000000000002</v>
      </c>
      <c r="P154" s="439">
        <v>158.03</v>
      </c>
      <c r="Q154" s="440"/>
      <c r="R154" s="439">
        <v>67.99</v>
      </c>
      <c r="S154" s="301">
        <f>O154+P154-R154</f>
        <v>-1360.4600000000003</v>
      </c>
      <c r="T154" s="307">
        <f>R154</f>
        <v>67.99</v>
      </c>
      <c r="U154" s="475">
        <f>M154</f>
        <v>8543.6</v>
      </c>
      <c r="V154" s="475">
        <f>I154</f>
        <v>0</v>
      </c>
      <c r="W154" s="475">
        <f>T154+U154+V154</f>
        <v>8611.59</v>
      </c>
      <c r="X154" s="444">
        <f>C154+H154+L154+P154</f>
        <v>19100.23</v>
      </c>
      <c r="Y154" s="444">
        <f>D154+I154+M154+R154</f>
        <v>22478.38</v>
      </c>
      <c r="Z154" s="512">
        <f>D154+R154</f>
        <v>13934.78</v>
      </c>
      <c r="AB154" s="8">
        <f aca="true" t="shared" si="96" ref="AB154:AB178">AC96+X125+X154</f>
        <v>57323.92</v>
      </c>
      <c r="AC154" s="8">
        <f aca="true" t="shared" si="97" ref="AC154:AC178">AE96+Z125+Z154+AB96</f>
        <v>52693.24</v>
      </c>
      <c r="AD154" s="41"/>
    </row>
    <row r="155" spans="1:30" ht="18.75">
      <c r="A155" s="431" t="s">
        <v>53</v>
      </c>
      <c r="B155" s="428">
        <f t="shared" si="91"/>
        <v>140710.8900000002</v>
      </c>
      <c r="C155" s="429">
        <v>29755.06</v>
      </c>
      <c r="D155" s="429">
        <v>52610.06</v>
      </c>
      <c r="E155" s="282"/>
      <c r="F155" s="428">
        <f t="shared" si="92"/>
        <v>117855.89000000019</v>
      </c>
      <c r="G155" s="285">
        <f t="shared" si="93"/>
        <v>1131.7399999999998</v>
      </c>
      <c r="H155" s="601">
        <v>258.4</v>
      </c>
      <c r="I155" s="1030">
        <v>0</v>
      </c>
      <c r="J155" s="285">
        <f aca="true" t="shared" si="98" ref="J155:J178">G155+H155-I155</f>
        <v>1390.1399999999999</v>
      </c>
      <c r="K155" s="302">
        <f t="shared" si="94"/>
        <v>-3261.059999999999</v>
      </c>
      <c r="L155" s="526">
        <v>120.78</v>
      </c>
      <c r="M155" s="1031">
        <v>0</v>
      </c>
      <c r="N155" s="302">
        <f aca="true" t="shared" si="99" ref="N155:N178">K155+L155-M155</f>
        <v>-3140.279999999999</v>
      </c>
      <c r="O155" s="301">
        <f t="shared" si="95"/>
        <v>454.87</v>
      </c>
      <c r="P155" s="439">
        <v>591.73</v>
      </c>
      <c r="Q155" s="440"/>
      <c r="R155" s="439">
        <f>596.27+1293.88</f>
        <v>1890.15</v>
      </c>
      <c r="S155" s="301">
        <f>O155+P155-R155</f>
        <v>-843.5500000000002</v>
      </c>
      <c r="T155" s="307">
        <f aca="true" t="shared" si="100" ref="T155:T178">R155</f>
        <v>1890.15</v>
      </c>
      <c r="U155" s="475">
        <f aca="true" t="shared" si="101" ref="U155:U178">M155</f>
        <v>0</v>
      </c>
      <c r="V155" s="475">
        <f aca="true" t="shared" si="102" ref="V155:V178">I155</f>
        <v>0</v>
      </c>
      <c r="W155" s="475">
        <f aca="true" t="shared" si="103" ref="W155:W178">T155+U155+V155</f>
        <v>1890.15</v>
      </c>
      <c r="X155" s="444">
        <f aca="true" t="shared" si="104" ref="X155:X178">C155+H155+L155+P155</f>
        <v>30725.97</v>
      </c>
      <c r="Y155" s="444">
        <f aca="true" t="shared" si="105" ref="Y155:Y178">D155+I155+M155+R155</f>
        <v>54500.21</v>
      </c>
      <c r="Z155" s="512">
        <f aca="true" t="shared" si="106" ref="Z155:Z178">D155+R155</f>
        <v>54500.21</v>
      </c>
      <c r="AB155" s="8">
        <f t="shared" si="96"/>
        <v>91474.23</v>
      </c>
      <c r="AC155" s="8">
        <f t="shared" si="97"/>
        <v>118112.09</v>
      </c>
      <c r="AD155" s="41"/>
    </row>
    <row r="156" spans="1:30" ht="18.75">
      <c r="A156" s="431" t="s">
        <v>8</v>
      </c>
      <c r="B156" s="428">
        <f t="shared" si="91"/>
        <v>74445.62</v>
      </c>
      <c r="C156" s="428"/>
      <c r="D156" s="428"/>
      <c r="E156" s="428"/>
      <c r="F156" s="428">
        <f t="shared" si="92"/>
        <v>74445.62</v>
      </c>
      <c r="G156" s="285">
        <f t="shared" si="93"/>
        <v>0</v>
      </c>
      <c r="H156" s="602"/>
      <c r="I156" s="1030">
        <v>0</v>
      </c>
      <c r="J156" s="285">
        <f t="shared" si="98"/>
        <v>0</v>
      </c>
      <c r="K156" s="302">
        <f t="shared" si="94"/>
        <v>0</v>
      </c>
      <c r="L156" s="526"/>
      <c r="M156" s="1031"/>
      <c r="N156" s="302">
        <f t="shared" si="99"/>
        <v>0</v>
      </c>
      <c r="O156" s="301">
        <f t="shared" si="95"/>
        <v>0</v>
      </c>
      <c r="P156" s="301"/>
      <c r="Q156" s="301"/>
      <c r="R156" s="301"/>
      <c r="S156" s="301">
        <f>O156+P156-R156</f>
        <v>0</v>
      </c>
      <c r="T156" s="307">
        <f t="shared" si="100"/>
        <v>0</v>
      </c>
      <c r="U156" s="475">
        <f t="shared" si="101"/>
        <v>0</v>
      </c>
      <c r="V156" s="475">
        <f t="shared" si="102"/>
        <v>0</v>
      </c>
      <c r="W156" s="475">
        <f t="shared" si="103"/>
        <v>0</v>
      </c>
      <c r="X156" s="444">
        <f t="shared" si="104"/>
        <v>0</v>
      </c>
      <c r="Y156" s="444">
        <f t="shared" si="105"/>
        <v>0</v>
      </c>
      <c r="Z156" s="512">
        <f t="shared" si="106"/>
        <v>0</v>
      </c>
      <c r="AB156" s="8">
        <f t="shared" si="96"/>
        <v>0</v>
      </c>
      <c r="AC156" s="8">
        <f t="shared" si="97"/>
        <v>0</v>
      </c>
      <c r="AD156" s="41"/>
    </row>
    <row r="157" spans="1:30" ht="18.75">
      <c r="A157" s="431" t="s">
        <v>48</v>
      </c>
      <c r="B157" s="428">
        <f t="shared" si="91"/>
        <v>347356.9100000002</v>
      </c>
      <c r="C157" s="428">
        <v>74390.96</v>
      </c>
      <c r="D157" s="428">
        <v>68965.16</v>
      </c>
      <c r="E157" s="428"/>
      <c r="F157" s="428">
        <f t="shared" si="92"/>
        <v>352782.7100000002</v>
      </c>
      <c r="G157" s="285">
        <f t="shared" si="93"/>
        <v>28484.849999999995</v>
      </c>
      <c r="H157" s="602">
        <v>1241.79</v>
      </c>
      <c r="I157" s="1030">
        <v>0</v>
      </c>
      <c r="J157" s="285">
        <f t="shared" si="98"/>
        <v>29726.639999999996</v>
      </c>
      <c r="K157" s="302">
        <f t="shared" si="94"/>
        <v>-0.0699999999985721</v>
      </c>
      <c r="L157" s="526">
        <f>1653.07+242.74</f>
        <v>1895.81</v>
      </c>
      <c r="M157" s="1031">
        <v>802.42</v>
      </c>
      <c r="N157" s="302">
        <f t="shared" si="99"/>
        <v>1093.3200000000015</v>
      </c>
      <c r="O157" s="301">
        <f t="shared" si="95"/>
        <v>-2428.479999999999</v>
      </c>
      <c r="P157" s="301">
        <v>398.7</v>
      </c>
      <c r="Q157" s="301"/>
      <c r="R157" s="301">
        <v>131.59</v>
      </c>
      <c r="S157" s="301">
        <f>O157+P157-R157</f>
        <v>-2161.369999999999</v>
      </c>
      <c r="T157" s="307">
        <f t="shared" si="100"/>
        <v>131.59</v>
      </c>
      <c r="U157" s="475">
        <f t="shared" si="101"/>
        <v>802.42</v>
      </c>
      <c r="V157" s="475">
        <f t="shared" si="102"/>
        <v>0</v>
      </c>
      <c r="W157" s="475">
        <f t="shared" si="103"/>
        <v>934.01</v>
      </c>
      <c r="X157" s="444">
        <f t="shared" si="104"/>
        <v>77927.26</v>
      </c>
      <c r="Y157" s="444">
        <f t="shared" si="105"/>
        <v>69899.17</v>
      </c>
      <c r="Z157" s="512">
        <f t="shared" si="106"/>
        <v>69096.75</v>
      </c>
      <c r="AB157" s="8">
        <f t="shared" si="96"/>
        <v>229544.68</v>
      </c>
      <c r="AC157" s="8">
        <f t="shared" si="97"/>
        <v>219975.06999999998</v>
      </c>
      <c r="AD157" s="41"/>
    </row>
    <row r="158" spans="1:30" ht="18.75">
      <c r="A158" s="431" t="s">
        <v>9</v>
      </c>
      <c r="B158" s="428">
        <f t="shared" si="91"/>
        <v>120200.72000000009</v>
      </c>
      <c r="C158" s="429">
        <v>17857.29</v>
      </c>
      <c r="D158" s="428">
        <v>17515.36</v>
      </c>
      <c r="E158" s="428"/>
      <c r="F158" s="428">
        <f t="shared" si="92"/>
        <v>120542.6500000001</v>
      </c>
      <c r="G158" s="285">
        <f t="shared" si="93"/>
        <v>34210.44</v>
      </c>
      <c r="H158" s="602">
        <f>1527.99+99.64</f>
        <v>1627.63</v>
      </c>
      <c r="I158" s="1030">
        <v>0</v>
      </c>
      <c r="J158" s="285">
        <f t="shared" si="98"/>
        <v>35838.07</v>
      </c>
      <c r="K158" s="302">
        <f t="shared" si="94"/>
        <v>0</v>
      </c>
      <c r="L158" s="526"/>
      <c r="M158" s="1031"/>
      <c r="N158" s="302">
        <f t="shared" si="99"/>
        <v>0</v>
      </c>
      <c r="O158" s="301">
        <f t="shared" si="95"/>
        <v>194.08999999999997</v>
      </c>
      <c r="P158" s="301">
        <v>88.45</v>
      </c>
      <c r="Q158" s="301"/>
      <c r="R158" s="301">
        <v>10.72</v>
      </c>
      <c r="S158" s="301">
        <f>O158+P158-R158</f>
        <v>271.81999999999994</v>
      </c>
      <c r="T158" s="307">
        <f t="shared" si="100"/>
        <v>10.72</v>
      </c>
      <c r="U158" s="738">
        <f t="shared" si="101"/>
        <v>0</v>
      </c>
      <c r="V158" s="475">
        <f t="shared" si="102"/>
        <v>0</v>
      </c>
      <c r="W158" s="475">
        <f t="shared" si="103"/>
        <v>10.72</v>
      </c>
      <c r="X158" s="444">
        <f t="shared" si="104"/>
        <v>19573.370000000003</v>
      </c>
      <c r="Y158" s="444">
        <f t="shared" si="105"/>
        <v>17526.08</v>
      </c>
      <c r="Z158" s="512">
        <f t="shared" si="106"/>
        <v>17526.08</v>
      </c>
      <c r="AB158" s="8">
        <f t="shared" si="96"/>
        <v>59119.450000000004</v>
      </c>
      <c r="AC158" s="8">
        <f t="shared" si="97"/>
        <v>57882.21</v>
      </c>
      <c r="AD158" s="41"/>
    </row>
    <row r="159" spans="1:30" ht="18.75">
      <c r="A159" s="431" t="s">
        <v>10</v>
      </c>
      <c r="B159" s="428">
        <f t="shared" si="91"/>
        <v>10128.500000000084</v>
      </c>
      <c r="C159" s="429">
        <v>7795.77</v>
      </c>
      <c r="D159" s="428">
        <v>6582.41</v>
      </c>
      <c r="E159" s="428"/>
      <c r="F159" s="428">
        <f t="shared" si="92"/>
        <v>11341.860000000084</v>
      </c>
      <c r="G159" s="285">
        <f t="shared" si="93"/>
        <v>0</v>
      </c>
      <c r="H159" s="602"/>
      <c r="I159" s="1030">
        <v>0</v>
      </c>
      <c r="J159" s="285">
        <f t="shared" si="98"/>
        <v>0</v>
      </c>
      <c r="K159" s="302">
        <f t="shared" si="94"/>
        <v>0</v>
      </c>
      <c r="L159" s="526"/>
      <c r="M159" s="1031"/>
      <c r="N159" s="302">
        <f t="shared" si="99"/>
        <v>0</v>
      </c>
      <c r="O159" s="301">
        <f t="shared" si="95"/>
        <v>7.189999999999987</v>
      </c>
      <c r="P159" s="301">
        <v>8.39</v>
      </c>
      <c r="Q159" s="301"/>
      <c r="R159" s="301">
        <v>0.78</v>
      </c>
      <c r="S159" s="301">
        <f aca="true" t="shared" si="107" ref="S159:S166">O159+P159-R159</f>
        <v>14.799999999999988</v>
      </c>
      <c r="T159" s="307">
        <f t="shared" si="100"/>
        <v>0.78</v>
      </c>
      <c r="U159" s="475">
        <f t="shared" si="101"/>
        <v>0</v>
      </c>
      <c r="V159" s="475">
        <f t="shared" si="102"/>
        <v>0</v>
      </c>
      <c r="W159" s="475">
        <f t="shared" si="103"/>
        <v>0.78</v>
      </c>
      <c r="X159" s="444">
        <f t="shared" si="104"/>
        <v>7804.160000000001</v>
      </c>
      <c r="Y159" s="444">
        <f t="shared" si="105"/>
        <v>6583.19</v>
      </c>
      <c r="Z159" s="512">
        <f t="shared" si="106"/>
        <v>6583.19</v>
      </c>
      <c r="AB159" s="8">
        <f t="shared" si="96"/>
        <v>23518.06</v>
      </c>
      <c r="AC159" s="8">
        <f t="shared" si="97"/>
        <v>24204.969999999998</v>
      </c>
      <c r="AD159" s="41"/>
    </row>
    <row r="160" spans="1:30" ht="18.75">
      <c r="A160" s="431" t="s">
        <v>11</v>
      </c>
      <c r="B160" s="428">
        <f t="shared" si="91"/>
        <v>8241.380000000041</v>
      </c>
      <c r="C160" s="428">
        <v>7768.21</v>
      </c>
      <c r="D160" s="428">
        <v>6753.99</v>
      </c>
      <c r="E160" s="428"/>
      <c r="F160" s="428">
        <f t="shared" si="92"/>
        <v>9255.60000000004</v>
      </c>
      <c r="G160" s="285">
        <f t="shared" si="93"/>
        <v>0</v>
      </c>
      <c r="H160" s="602"/>
      <c r="I160" s="1030">
        <v>0</v>
      </c>
      <c r="J160" s="285">
        <f t="shared" si="98"/>
        <v>0</v>
      </c>
      <c r="K160" s="302">
        <f t="shared" si="94"/>
        <v>0</v>
      </c>
      <c r="L160" s="526"/>
      <c r="M160" s="1031"/>
      <c r="N160" s="302">
        <f t="shared" si="99"/>
        <v>0</v>
      </c>
      <c r="O160" s="301">
        <f t="shared" si="95"/>
        <v>41.42</v>
      </c>
      <c r="P160" s="301"/>
      <c r="Q160" s="301"/>
      <c r="R160" s="301"/>
      <c r="S160" s="301">
        <f t="shared" si="107"/>
        <v>41.42</v>
      </c>
      <c r="T160" s="307">
        <f t="shared" si="100"/>
        <v>0</v>
      </c>
      <c r="U160" s="475">
        <f t="shared" si="101"/>
        <v>0</v>
      </c>
      <c r="V160" s="475">
        <f t="shared" si="102"/>
        <v>0</v>
      </c>
      <c r="W160" s="475">
        <f t="shared" si="103"/>
        <v>0</v>
      </c>
      <c r="X160" s="444">
        <f t="shared" si="104"/>
        <v>7768.21</v>
      </c>
      <c r="Y160" s="444">
        <f t="shared" si="105"/>
        <v>6753.99</v>
      </c>
      <c r="Z160" s="512">
        <f t="shared" si="106"/>
        <v>6753.99</v>
      </c>
      <c r="AB160" s="8">
        <f t="shared" si="96"/>
        <v>23308.17</v>
      </c>
      <c r="AC160" s="8">
        <f t="shared" si="97"/>
        <v>22035.78</v>
      </c>
      <c r="AD160" s="41"/>
    </row>
    <row r="161" spans="1:30" ht="18.75">
      <c r="A161" s="431" t="s">
        <v>12</v>
      </c>
      <c r="B161" s="428">
        <f t="shared" si="91"/>
        <v>81872.23000000024</v>
      </c>
      <c r="C161" s="428">
        <v>44459.32</v>
      </c>
      <c r="D161" s="428">
        <v>42308.53</v>
      </c>
      <c r="E161" s="428"/>
      <c r="F161" s="428">
        <f t="shared" si="92"/>
        <v>84023.02000000025</v>
      </c>
      <c r="G161" s="285">
        <f t="shared" si="93"/>
        <v>8793.759999999997</v>
      </c>
      <c r="H161" s="602">
        <v>517.28</v>
      </c>
      <c r="I161" s="1030">
        <v>0</v>
      </c>
      <c r="J161" s="285">
        <f t="shared" si="98"/>
        <v>9311.039999999997</v>
      </c>
      <c r="K161" s="302">
        <f t="shared" si="94"/>
        <v>1508.3999999999987</v>
      </c>
      <c r="L161" s="526">
        <v>1526.4</v>
      </c>
      <c r="M161" s="1031">
        <v>1526.4</v>
      </c>
      <c r="N161" s="302">
        <f t="shared" si="99"/>
        <v>1508.3999999999987</v>
      </c>
      <c r="O161" s="301">
        <f t="shared" si="95"/>
        <v>296.10999999999996</v>
      </c>
      <c r="P161" s="301">
        <v>56.19</v>
      </c>
      <c r="Q161" s="301"/>
      <c r="R161" s="301">
        <v>51.98</v>
      </c>
      <c r="S161" s="301">
        <f t="shared" si="107"/>
        <v>300.31999999999994</v>
      </c>
      <c r="T161" s="307">
        <f t="shared" si="100"/>
        <v>51.98</v>
      </c>
      <c r="U161" s="475">
        <f t="shared" si="101"/>
        <v>1526.4</v>
      </c>
      <c r="V161" s="475">
        <f t="shared" si="102"/>
        <v>0</v>
      </c>
      <c r="W161" s="475">
        <f t="shared" si="103"/>
        <v>1578.38</v>
      </c>
      <c r="X161" s="444">
        <f t="shared" si="104"/>
        <v>46559.19</v>
      </c>
      <c r="Y161" s="444">
        <f t="shared" si="105"/>
        <v>43886.91</v>
      </c>
      <c r="Z161" s="512">
        <f t="shared" si="106"/>
        <v>42360.51</v>
      </c>
      <c r="AB161" s="8">
        <f t="shared" si="96"/>
        <v>139937.3</v>
      </c>
      <c r="AC161" s="8">
        <f t="shared" si="97"/>
        <v>137516</v>
      </c>
      <c r="AD161" s="41"/>
    </row>
    <row r="162" spans="1:30" ht="18.75">
      <c r="A162" s="431" t="s">
        <v>13</v>
      </c>
      <c r="B162" s="428">
        <f t="shared" si="91"/>
        <v>51052.40000000002</v>
      </c>
      <c r="C162" s="428">
        <v>26273.16</v>
      </c>
      <c r="D162" s="428">
        <v>25401.15</v>
      </c>
      <c r="E162" s="428"/>
      <c r="F162" s="428">
        <f t="shared" si="92"/>
        <v>51924.410000000025</v>
      </c>
      <c r="G162" s="285">
        <f t="shared" si="93"/>
        <v>3138.6599999999985</v>
      </c>
      <c r="H162" s="602">
        <v>174.37</v>
      </c>
      <c r="I162" s="1030">
        <v>0</v>
      </c>
      <c r="J162" s="285">
        <f t="shared" si="98"/>
        <v>3313.0299999999984</v>
      </c>
      <c r="K162" s="302">
        <f t="shared" si="94"/>
        <v>-1645.01</v>
      </c>
      <c r="L162" s="526">
        <v>645.01</v>
      </c>
      <c r="M162" s="1031">
        <v>1290.02</v>
      </c>
      <c r="N162" s="302">
        <f t="shared" si="99"/>
        <v>-2290.02</v>
      </c>
      <c r="O162" s="301">
        <f t="shared" si="95"/>
        <v>80.6000000000001</v>
      </c>
      <c r="P162" s="301">
        <v>28.22</v>
      </c>
      <c r="Q162" s="301"/>
      <c r="R162" s="301">
        <v>12.76</v>
      </c>
      <c r="S162" s="301">
        <f t="shared" si="107"/>
        <v>96.06000000000009</v>
      </c>
      <c r="T162" s="307">
        <f t="shared" si="100"/>
        <v>12.76</v>
      </c>
      <c r="U162" s="475">
        <f t="shared" si="101"/>
        <v>1290.02</v>
      </c>
      <c r="V162" s="475">
        <f t="shared" si="102"/>
        <v>0</v>
      </c>
      <c r="W162" s="475">
        <f t="shared" si="103"/>
        <v>1302.78</v>
      </c>
      <c r="X162" s="444">
        <f t="shared" si="104"/>
        <v>27120.76</v>
      </c>
      <c r="Y162" s="444">
        <f t="shared" si="105"/>
        <v>26703.93</v>
      </c>
      <c r="Z162" s="512">
        <f t="shared" si="106"/>
        <v>25413.91</v>
      </c>
      <c r="AB162" s="8">
        <f t="shared" si="96"/>
        <v>81502.51999999999</v>
      </c>
      <c r="AC162" s="8">
        <f t="shared" si="97"/>
        <v>78616.88</v>
      </c>
      <c r="AD162" s="41"/>
    </row>
    <row r="163" spans="1:30" ht="18.75">
      <c r="A163" s="431" t="s">
        <v>14</v>
      </c>
      <c r="B163" s="428">
        <f t="shared" si="91"/>
        <v>54532.38000000006</v>
      </c>
      <c r="C163" s="428">
        <v>32415.33</v>
      </c>
      <c r="D163" s="428">
        <v>33768.29</v>
      </c>
      <c r="E163" s="428"/>
      <c r="F163" s="428">
        <f t="shared" si="92"/>
        <v>53179.420000000064</v>
      </c>
      <c r="G163" s="285">
        <f t="shared" si="93"/>
        <v>4683.079999999998</v>
      </c>
      <c r="H163" s="602">
        <v>184.44</v>
      </c>
      <c r="I163" s="1030">
        <v>0</v>
      </c>
      <c r="J163" s="285">
        <f t="shared" si="98"/>
        <v>4867.519999999998</v>
      </c>
      <c r="K163" s="302">
        <f t="shared" si="94"/>
        <v>5687.789999999999</v>
      </c>
      <c r="L163" s="526">
        <f>2408.85</f>
        <v>2408.85</v>
      </c>
      <c r="M163" s="1031">
        <v>3486.87</v>
      </c>
      <c r="N163" s="302">
        <f t="shared" si="99"/>
        <v>4609.7699999999995</v>
      </c>
      <c r="O163" s="301">
        <f t="shared" si="95"/>
        <v>-407.53000000000003</v>
      </c>
      <c r="P163" s="301">
        <v>9.62</v>
      </c>
      <c r="Q163" s="301"/>
      <c r="R163" s="301">
        <v>0.67</v>
      </c>
      <c r="S163" s="301">
        <f t="shared" si="107"/>
        <v>-398.58000000000004</v>
      </c>
      <c r="T163" s="307">
        <f t="shared" si="100"/>
        <v>0.67</v>
      </c>
      <c r="U163" s="475">
        <f t="shared" si="101"/>
        <v>3486.87</v>
      </c>
      <c r="V163" s="475">
        <f t="shared" si="102"/>
        <v>0</v>
      </c>
      <c r="W163" s="475">
        <f t="shared" si="103"/>
        <v>3487.54</v>
      </c>
      <c r="X163" s="444">
        <f t="shared" si="104"/>
        <v>35018.240000000005</v>
      </c>
      <c r="Y163" s="444">
        <f t="shared" si="105"/>
        <v>37255.83</v>
      </c>
      <c r="Z163" s="512">
        <f t="shared" si="106"/>
        <v>33768.96</v>
      </c>
      <c r="AB163" s="8">
        <f t="shared" si="96"/>
        <v>105062.72000000002</v>
      </c>
      <c r="AC163" s="8">
        <f t="shared" si="97"/>
        <v>106297.68</v>
      </c>
      <c r="AD163" s="41"/>
    </row>
    <row r="164" spans="1:30" ht="18.75">
      <c r="A164" s="431" t="s">
        <v>55</v>
      </c>
      <c r="B164" s="428">
        <f t="shared" si="91"/>
        <v>43443.95000000001</v>
      </c>
      <c r="C164" s="428">
        <v>14758.92</v>
      </c>
      <c r="D164" s="428">
        <v>13596.1</v>
      </c>
      <c r="E164" s="428"/>
      <c r="F164" s="428">
        <f t="shared" si="92"/>
        <v>44606.77000000001</v>
      </c>
      <c r="G164" s="285">
        <f t="shared" si="93"/>
        <v>3153.5</v>
      </c>
      <c r="H164" s="602">
        <v>185.5</v>
      </c>
      <c r="I164" s="1030">
        <v>0</v>
      </c>
      <c r="J164" s="285">
        <f t="shared" si="98"/>
        <v>3339</v>
      </c>
      <c r="K164" s="302">
        <f t="shared" si="94"/>
        <v>1861.4800000000023</v>
      </c>
      <c r="L164" s="526">
        <v>372.59</v>
      </c>
      <c r="M164" s="1031"/>
      <c r="N164" s="302">
        <f t="shared" si="99"/>
        <v>2234.0700000000024</v>
      </c>
      <c r="O164" s="301">
        <f t="shared" si="95"/>
        <v>-84.25999999999999</v>
      </c>
      <c r="P164" s="301">
        <v>2.62</v>
      </c>
      <c r="Q164" s="301"/>
      <c r="R164" s="301">
        <v>2.62</v>
      </c>
      <c r="S164" s="301">
        <f t="shared" si="107"/>
        <v>-84.25999999999999</v>
      </c>
      <c r="T164" s="307">
        <f t="shared" si="100"/>
        <v>2.62</v>
      </c>
      <c r="U164" s="475">
        <f t="shared" si="101"/>
        <v>0</v>
      </c>
      <c r="V164" s="475">
        <f t="shared" si="102"/>
        <v>0</v>
      </c>
      <c r="W164" s="475">
        <f t="shared" si="103"/>
        <v>2.62</v>
      </c>
      <c r="X164" s="444">
        <f t="shared" si="104"/>
        <v>15319.630000000001</v>
      </c>
      <c r="Y164" s="444">
        <f t="shared" si="105"/>
        <v>13598.720000000001</v>
      </c>
      <c r="Z164" s="512">
        <f t="shared" si="106"/>
        <v>13598.720000000001</v>
      </c>
      <c r="AB164" s="8">
        <f t="shared" si="96"/>
        <v>45962.29</v>
      </c>
      <c r="AC164" s="8">
        <f t="shared" si="97"/>
        <v>43540.380000000005</v>
      </c>
      <c r="AD164" s="41"/>
    </row>
    <row r="165" spans="1:30" ht="18.75">
      <c r="A165" s="431" t="s">
        <v>15</v>
      </c>
      <c r="B165" s="428">
        <f t="shared" si="91"/>
        <v>105264.89000000032</v>
      </c>
      <c r="C165" s="428">
        <v>34705.99</v>
      </c>
      <c r="D165" s="448">
        <v>31109.94</v>
      </c>
      <c r="E165" s="448"/>
      <c r="F165" s="428">
        <f t="shared" si="92"/>
        <v>108860.94000000032</v>
      </c>
      <c r="G165" s="285">
        <f t="shared" si="93"/>
        <v>0</v>
      </c>
      <c r="H165" s="602"/>
      <c r="I165" s="1030">
        <v>0</v>
      </c>
      <c r="J165" s="285">
        <f t="shared" si="98"/>
        <v>0</v>
      </c>
      <c r="K165" s="302">
        <f t="shared" si="94"/>
        <v>-2142.79</v>
      </c>
      <c r="L165" s="526">
        <v>354.57</v>
      </c>
      <c r="M165" s="1031"/>
      <c r="N165" s="302">
        <f t="shared" si="99"/>
        <v>-1788.22</v>
      </c>
      <c r="O165" s="301">
        <f t="shared" si="95"/>
        <v>466.13999999999976</v>
      </c>
      <c r="P165" s="301">
        <v>70.22</v>
      </c>
      <c r="Q165" s="301"/>
      <c r="R165" s="301">
        <v>57.87</v>
      </c>
      <c r="S165" s="301">
        <f t="shared" si="107"/>
        <v>478.4899999999998</v>
      </c>
      <c r="T165" s="307">
        <f t="shared" si="100"/>
        <v>57.87</v>
      </c>
      <c r="U165" s="475">
        <f t="shared" si="101"/>
        <v>0</v>
      </c>
      <c r="V165" s="475">
        <f t="shared" si="102"/>
        <v>0</v>
      </c>
      <c r="W165" s="475">
        <f t="shared" si="103"/>
        <v>57.87</v>
      </c>
      <c r="X165" s="444">
        <f t="shared" si="104"/>
        <v>35130.78</v>
      </c>
      <c r="Y165" s="444">
        <f t="shared" si="105"/>
        <v>31167.809999999998</v>
      </c>
      <c r="Z165" s="512">
        <f t="shared" si="106"/>
        <v>31167.809999999998</v>
      </c>
      <c r="AB165" s="8">
        <f t="shared" si="96"/>
        <v>105589.37999999999</v>
      </c>
      <c r="AC165" s="8">
        <f t="shared" si="97"/>
        <v>98058.26</v>
      </c>
      <c r="AD165" s="41"/>
    </row>
    <row r="166" spans="1:30" ht="18.75">
      <c r="A166" s="431" t="s">
        <v>16</v>
      </c>
      <c r="B166" s="428">
        <f t="shared" si="91"/>
        <v>33547.940000000075</v>
      </c>
      <c r="C166" s="428">
        <v>28244.23</v>
      </c>
      <c r="D166" s="448">
        <v>28105.28</v>
      </c>
      <c r="E166" s="448"/>
      <c r="F166" s="428">
        <f t="shared" si="92"/>
        <v>33686.89000000007</v>
      </c>
      <c r="G166" s="285">
        <f t="shared" si="93"/>
        <v>0</v>
      </c>
      <c r="H166" s="602"/>
      <c r="I166" s="1030">
        <v>0</v>
      </c>
      <c r="J166" s="285">
        <f t="shared" si="98"/>
        <v>0</v>
      </c>
      <c r="K166" s="302">
        <f t="shared" si="94"/>
        <v>1454.850000000002</v>
      </c>
      <c r="L166" s="526">
        <v>290.97</v>
      </c>
      <c r="M166" s="1031"/>
      <c r="N166" s="302">
        <f t="shared" si="99"/>
        <v>1745.820000000002</v>
      </c>
      <c r="O166" s="301">
        <f t="shared" si="95"/>
        <v>83.27999999999999</v>
      </c>
      <c r="P166" s="301">
        <v>2.47</v>
      </c>
      <c r="Q166" s="301"/>
      <c r="R166" s="301">
        <v>3.25</v>
      </c>
      <c r="S166" s="301">
        <f t="shared" si="107"/>
        <v>82.49999999999999</v>
      </c>
      <c r="T166" s="307">
        <f t="shared" si="100"/>
        <v>3.25</v>
      </c>
      <c r="U166" s="475">
        <f t="shared" si="101"/>
        <v>0</v>
      </c>
      <c r="V166" s="475">
        <f t="shared" si="102"/>
        <v>0</v>
      </c>
      <c r="W166" s="475">
        <f t="shared" si="103"/>
        <v>3.25</v>
      </c>
      <c r="X166" s="444">
        <f t="shared" si="104"/>
        <v>28537.670000000002</v>
      </c>
      <c r="Y166" s="444">
        <f t="shared" si="105"/>
        <v>28108.53</v>
      </c>
      <c r="Z166" s="512">
        <f t="shared" si="106"/>
        <v>28108.53</v>
      </c>
      <c r="AB166" s="8">
        <f t="shared" si="96"/>
        <v>85632.11</v>
      </c>
      <c r="AC166" s="8">
        <f t="shared" si="97"/>
        <v>85138.89</v>
      </c>
      <c r="AD166" s="41"/>
    </row>
    <row r="167" spans="1:30" ht="18.75">
      <c r="A167" s="431" t="s">
        <v>17</v>
      </c>
      <c r="B167" s="428">
        <f t="shared" si="91"/>
        <v>51045.49000000028</v>
      </c>
      <c r="C167" s="428">
        <v>36761.37</v>
      </c>
      <c r="D167" s="428">
        <v>35223.92</v>
      </c>
      <c r="E167" s="428"/>
      <c r="F167" s="428">
        <f t="shared" si="92"/>
        <v>52582.94000000028</v>
      </c>
      <c r="G167" s="285">
        <f t="shared" si="93"/>
        <v>6261.950000000003</v>
      </c>
      <c r="H167" s="602">
        <v>368.35</v>
      </c>
      <c r="I167" s="1030">
        <v>0</v>
      </c>
      <c r="J167" s="285">
        <f t="shared" si="98"/>
        <v>6630.300000000003</v>
      </c>
      <c r="K167" s="302">
        <f t="shared" si="94"/>
        <v>619.5699999999998</v>
      </c>
      <c r="L167" s="526">
        <v>619.57</v>
      </c>
      <c r="M167" s="1031">
        <v>619.57</v>
      </c>
      <c r="N167" s="302">
        <f t="shared" si="99"/>
        <v>619.5699999999998</v>
      </c>
      <c r="O167" s="301">
        <f t="shared" si="95"/>
        <v>59.720000000000034</v>
      </c>
      <c r="P167" s="301">
        <v>36.86</v>
      </c>
      <c r="Q167" s="301"/>
      <c r="R167" s="301">
        <f>0</f>
        <v>0</v>
      </c>
      <c r="S167" s="301">
        <f aca="true" t="shared" si="108" ref="S167:S179">O167+P167-R167</f>
        <v>96.58000000000004</v>
      </c>
      <c r="T167" s="307">
        <f t="shared" si="100"/>
        <v>0</v>
      </c>
      <c r="U167" s="738">
        <f t="shared" si="101"/>
        <v>619.57</v>
      </c>
      <c r="V167" s="475">
        <f t="shared" si="102"/>
        <v>0</v>
      </c>
      <c r="W167" s="475">
        <f t="shared" si="103"/>
        <v>619.57</v>
      </c>
      <c r="X167" s="444">
        <f t="shared" si="104"/>
        <v>37786.15</v>
      </c>
      <c r="Y167" s="444">
        <f t="shared" si="105"/>
        <v>35843.49</v>
      </c>
      <c r="Z167" s="512">
        <f t="shared" si="106"/>
        <v>35223.92</v>
      </c>
      <c r="AB167" s="8">
        <f t="shared" si="96"/>
        <v>113731.07</v>
      </c>
      <c r="AC167" s="8">
        <f t="shared" si="97"/>
        <v>117991.20999999999</v>
      </c>
      <c r="AD167" s="41"/>
    </row>
    <row r="168" spans="1:30" ht="18.75">
      <c r="A168" s="431" t="s">
        <v>18</v>
      </c>
      <c r="B168" s="428">
        <f t="shared" si="91"/>
        <v>151753.87000000005</v>
      </c>
      <c r="C168" s="428">
        <v>78555.91</v>
      </c>
      <c r="D168" s="428">
        <v>81669.58</v>
      </c>
      <c r="E168" s="428"/>
      <c r="F168" s="428">
        <f t="shared" si="92"/>
        <v>148640.20000000007</v>
      </c>
      <c r="G168" s="285">
        <f t="shared" si="93"/>
        <v>840.0499999999986</v>
      </c>
      <c r="H168" s="602"/>
      <c r="I168" s="1030">
        <v>0</v>
      </c>
      <c r="J168" s="285">
        <f t="shared" si="98"/>
        <v>840.0499999999986</v>
      </c>
      <c r="K168" s="302">
        <f t="shared" si="94"/>
        <v>1738.4</v>
      </c>
      <c r="L168" s="526">
        <v>2216.46</v>
      </c>
      <c r="M168" s="1031">
        <v>3772.01</v>
      </c>
      <c r="N168" s="302">
        <f t="shared" si="99"/>
        <v>182.8499999999999</v>
      </c>
      <c r="O168" s="301">
        <f t="shared" si="95"/>
        <v>328.6200000000001</v>
      </c>
      <c r="P168" s="301">
        <v>79.57</v>
      </c>
      <c r="Q168" s="301"/>
      <c r="R168" s="301">
        <v>59.21</v>
      </c>
      <c r="S168" s="301">
        <f t="shared" si="108"/>
        <v>348.98000000000013</v>
      </c>
      <c r="T168" s="307">
        <f t="shared" si="100"/>
        <v>59.21</v>
      </c>
      <c r="U168" s="475">
        <f t="shared" si="101"/>
        <v>3772.01</v>
      </c>
      <c r="V168" s="475">
        <f t="shared" si="102"/>
        <v>0</v>
      </c>
      <c r="W168" s="475">
        <f t="shared" si="103"/>
        <v>3831.2200000000003</v>
      </c>
      <c r="X168" s="444">
        <f t="shared" si="104"/>
        <v>80851.94000000002</v>
      </c>
      <c r="Y168" s="444">
        <f t="shared" si="105"/>
        <v>85500.8</v>
      </c>
      <c r="Z168" s="512">
        <f t="shared" si="106"/>
        <v>81728.79000000001</v>
      </c>
      <c r="AB168" s="8">
        <f t="shared" si="96"/>
        <v>242582.35000000003</v>
      </c>
      <c r="AC168" s="8">
        <f t="shared" si="97"/>
        <v>244732.73</v>
      </c>
      <c r="AD168" s="41"/>
    </row>
    <row r="169" spans="1:30" ht="18.75">
      <c r="A169" s="431" t="s">
        <v>54</v>
      </c>
      <c r="B169" s="428">
        <f t="shared" si="91"/>
        <v>66507.78000000032</v>
      </c>
      <c r="C169" s="428">
        <v>33612.07</v>
      </c>
      <c r="D169" s="428">
        <v>32508.94</v>
      </c>
      <c r="E169" s="428"/>
      <c r="F169" s="428">
        <f t="shared" si="92"/>
        <v>67610.91000000032</v>
      </c>
      <c r="G169" s="285">
        <f t="shared" si="93"/>
        <v>5352.880000000002</v>
      </c>
      <c r="H169" s="602">
        <v>261.82</v>
      </c>
      <c r="I169" s="1030">
        <v>0</v>
      </c>
      <c r="J169" s="285">
        <f t="shared" si="98"/>
        <v>5614.700000000002</v>
      </c>
      <c r="K169" s="302">
        <f t="shared" si="94"/>
        <v>0</v>
      </c>
      <c r="L169" s="526"/>
      <c r="M169" s="1031"/>
      <c r="N169" s="302">
        <f t="shared" si="99"/>
        <v>0</v>
      </c>
      <c r="O169" s="301">
        <f t="shared" si="95"/>
        <v>-954.9399999999999</v>
      </c>
      <c r="P169" s="301">
        <v>4.54</v>
      </c>
      <c r="Q169" s="301"/>
      <c r="R169" s="301">
        <f>12.13+141.38</f>
        <v>153.51</v>
      </c>
      <c r="S169" s="301">
        <f t="shared" si="108"/>
        <v>-1103.9099999999999</v>
      </c>
      <c r="T169" s="307">
        <f t="shared" si="100"/>
        <v>153.51</v>
      </c>
      <c r="U169" s="475">
        <f t="shared" si="101"/>
        <v>0</v>
      </c>
      <c r="V169" s="475">
        <f t="shared" si="102"/>
        <v>0</v>
      </c>
      <c r="W169" s="475">
        <f t="shared" si="103"/>
        <v>153.51</v>
      </c>
      <c r="X169" s="444">
        <f t="shared" si="104"/>
        <v>33878.43</v>
      </c>
      <c r="Y169" s="444">
        <f t="shared" si="105"/>
        <v>32662.449999999997</v>
      </c>
      <c r="Z169" s="512">
        <f t="shared" si="106"/>
        <v>32662.449999999997</v>
      </c>
      <c r="AB169" s="8">
        <f t="shared" si="96"/>
        <v>102054.5</v>
      </c>
      <c r="AC169" s="8">
        <f t="shared" si="97"/>
        <v>102335.14</v>
      </c>
      <c r="AD169" s="41"/>
    </row>
    <row r="170" spans="1:30" ht="18.75">
      <c r="A170" s="431" t="s">
        <v>49</v>
      </c>
      <c r="B170" s="428">
        <f t="shared" si="91"/>
        <v>192295.65000000023</v>
      </c>
      <c r="C170" s="428">
        <v>71492.24</v>
      </c>
      <c r="D170" s="428">
        <v>71609.27</v>
      </c>
      <c r="E170" s="428"/>
      <c r="F170" s="428">
        <f t="shared" si="92"/>
        <v>192178.62000000023</v>
      </c>
      <c r="G170" s="285">
        <f t="shared" si="93"/>
        <v>13893.420000000002</v>
      </c>
      <c r="H170" s="602">
        <v>817.26</v>
      </c>
      <c r="I170" s="1030">
        <v>0</v>
      </c>
      <c r="J170" s="285">
        <f t="shared" si="98"/>
        <v>14710.680000000002</v>
      </c>
      <c r="K170" s="302">
        <f t="shared" si="94"/>
        <v>4660.400000000003</v>
      </c>
      <c r="L170" s="526">
        <f>3556.3-537.42</f>
        <v>3018.88</v>
      </c>
      <c r="M170" s="1031">
        <v>3919.88</v>
      </c>
      <c r="N170" s="302">
        <f t="shared" si="99"/>
        <v>3759.4000000000033</v>
      </c>
      <c r="O170" s="301">
        <f t="shared" si="95"/>
        <v>-1056.5500000000002</v>
      </c>
      <c r="P170" s="301">
        <v>150.61</v>
      </c>
      <c r="Q170" s="301"/>
      <c r="R170" s="301">
        <v>140.54</v>
      </c>
      <c r="S170" s="301">
        <f t="shared" si="108"/>
        <v>-1046.4800000000002</v>
      </c>
      <c r="T170" s="307">
        <f t="shared" si="100"/>
        <v>140.54</v>
      </c>
      <c r="U170" s="475">
        <f t="shared" si="101"/>
        <v>3919.88</v>
      </c>
      <c r="V170" s="475">
        <f t="shared" si="102"/>
        <v>0</v>
      </c>
      <c r="W170" s="475">
        <f t="shared" si="103"/>
        <v>4060.42</v>
      </c>
      <c r="X170" s="444">
        <f t="shared" si="104"/>
        <v>75478.99</v>
      </c>
      <c r="Y170" s="444">
        <f t="shared" si="105"/>
        <v>75669.69</v>
      </c>
      <c r="Z170" s="512">
        <f t="shared" si="106"/>
        <v>71749.81</v>
      </c>
      <c r="AB170" s="8">
        <f t="shared" si="96"/>
        <v>227255.28999999998</v>
      </c>
      <c r="AC170" s="8">
        <f t="shared" si="97"/>
        <v>219423.32</v>
      </c>
      <c r="AD170" s="41"/>
    </row>
    <row r="171" spans="1:30" ht="18.75">
      <c r="A171" s="431" t="s">
        <v>19</v>
      </c>
      <c r="B171" s="428">
        <f t="shared" si="91"/>
        <v>84970.32999999999</v>
      </c>
      <c r="C171" s="428">
        <v>52752.49</v>
      </c>
      <c r="D171" s="428">
        <v>52947.39</v>
      </c>
      <c r="E171" s="428"/>
      <c r="F171" s="428">
        <f t="shared" si="92"/>
        <v>84775.42999999998</v>
      </c>
      <c r="G171" s="285">
        <f t="shared" si="93"/>
        <v>6469.2999999999965</v>
      </c>
      <c r="H171" s="602">
        <v>356.69</v>
      </c>
      <c r="I171" s="1030">
        <v>0</v>
      </c>
      <c r="J171" s="285">
        <f t="shared" si="98"/>
        <v>6825.989999999996</v>
      </c>
      <c r="K171" s="302">
        <f t="shared" si="94"/>
        <v>1887.9800000000005</v>
      </c>
      <c r="L171" s="526">
        <v>1041.98</v>
      </c>
      <c r="M171" s="1031">
        <v>2020.89</v>
      </c>
      <c r="N171" s="302">
        <f t="shared" si="99"/>
        <v>909.0700000000004</v>
      </c>
      <c r="O171" s="301">
        <f t="shared" si="95"/>
        <v>1310.5000000000005</v>
      </c>
      <c r="P171" s="301">
        <v>240.33</v>
      </c>
      <c r="Q171" s="301"/>
      <c r="R171" s="301">
        <v>251.14</v>
      </c>
      <c r="S171" s="301">
        <f t="shared" si="108"/>
        <v>1299.6900000000005</v>
      </c>
      <c r="T171" s="307">
        <f t="shared" si="100"/>
        <v>251.14</v>
      </c>
      <c r="U171" s="738">
        <f t="shared" si="101"/>
        <v>2020.89</v>
      </c>
      <c r="V171" s="475">
        <f t="shared" si="102"/>
        <v>0</v>
      </c>
      <c r="W171" s="475">
        <f t="shared" si="103"/>
        <v>2272.03</v>
      </c>
      <c r="X171" s="444">
        <f t="shared" si="104"/>
        <v>54391.490000000005</v>
      </c>
      <c r="Y171" s="444">
        <f t="shared" si="105"/>
        <v>55219.42</v>
      </c>
      <c r="Z171" s="512">
        <f t="shared" si="106"/>
        <v>53198.53</v>
      </c>
      <c r="AB171" s="8">
        <f t="shared" si="96"/>
        <v>164079.28000000003</v>
      </c>
      <c r="AC171" s="8">
        <f t="shared" si="97"/>
        <v>163188.69000000003</v>
      </c>
      <c r="AD171" s="41"/>
    </row>
    <row r="172" spans="1:30" ht="18.75">
      <c r="A172" s="431" t="s">
        <v>20</v>
      </c>
      <c r="B172" s="428">
        <f t="shared" si="91"/>
        <v>58928.48000000007</v>
      </c>
      <c r="C172" s="428">
        <v>34274.05</v>
      </c>
      <c r="D172" s="428">
        <v>33952.56</v>
      </c>
      <c r="E172" s="428"/>
      <c r="F172" s="428">
        <f t="shared" si="92"/>
        <v>59249.970000000074</v>
      </c>
      <c r="G172" s="285">
        <f t="shared" si="93"/>
        <v>0</v>
      </c>
      <c r="H172" s="603"/>
      <c r="I172" s="1030">
        <v>0</v>
      </c>
      <c r="J172" s="285">
        <f t="shared" si="98"/>
        <v>0</v>
      </c>
      <c r="K172" s="302">
        <f t="shared" si="94"/>
        <v>5144.87</v>
      </c>
      <c r="L172" s="529">
        <v>689</v>
      </c>
      <c r="M172" s="914"/>
      <c r="N172" s="302">
        <f t="shared" si="99"/>
        <v>5833.87</v>
      </c>
      <c r="O172" s="301">
        <f t="shared" si="95"/>
        <v>105.80999999999993</v>
      </c>
      <c r="P172" s="301">
        <v>13.5</v>
      </c>
      <c r="Q172" s="301"/>
      <c r="R172" s="301">
        <v>3.85</v>
      </c>
      <c r="S172" s="301">
        <f t="shared" si="108"/>
        <v>115.45999999999994</v>
      </c>
      <c r="T172" s="307">
        <f t="shared" si="100"/>
        <v>3.85</v>
      </c>
      <c r="U172" s="475">
        <f t="shared" si="101"/>
        <v>0</v>
      </c>
      <c r="V172" s="475">
        <f t="shared" si="102"/>
        <v>0</v>
      </c>
      <c r="W172" s="475">
        <f t="shared" si="103"/>
        <v>3.85</v>
      </c>
      <c r="X172" s="444">
        <f t="shared" si="104"/>
        <v>34976.55</v>
      </c>
      <c r="Y172" s="444">
        <f t="shared" si="105"/>
        <v>33956.409999999996</v>
      </c>
      <c r="Z172" s="512">
        <f t="shared" si="106"/>
        <v>33956.409999999996</v>
      </c>
      <c r="AB172" s="8">
        <f t="shared" si="96"/>
        <v>105018.72000000002</v>
      </c>
      <c r="AC172" s="8">
        <f t="shared" si="97"/>
        <v>104498.78</v>
      </c>
      <c r="AD172" s="41"/>
    </row>
    <row r="173" spans="1:30" ht="18.75">
      <c r="A173" s="431" t="s">
        <v>114</v>
      </c>
      <c r="B173" s="428">
        <f t="shared" si="91"/>
        <v>-431493.6700000004</v>
      </c>
      <c r="C173" s="428">
        <v>41829.72</v>
      </c>
      <c r="D173" s="428">
        <v>40025.37</v>
      </c>
      <c r="E173" s="428"/>
      <c r="F173" s="428">
        <f t="shared" si="92"/>
        <v>-429689.3200000004</v>
      </c>
      <c r="G173" s="285">
        <f t="shared" si="93"/>
        <v>1074.84</v>
      </c>
      <c r="H173" s="600">
        <v>268.71</v>
      </c>
      <c r="I173" s="1030">
        <v>0</v>
      </c>
      <c r="J173" s="285">
        <f t="shared" si="98"/>
        <v>1343.55</v>
      </c>
      <c r="K173" s="302">
        <f t="shared" si="94"/>
        <v>1421.6599999999999</v>
      </c>
      <c r="L173" s="977">
        <v>1421.46</v>
      </c>
      <c r="M173" s="1031">
        <v>2121.59</v>
      </c>
      <c r="N173" s="302">
        <f t="shared" si="99"/>
        <v>721.5299999999997</v>
      </c>
      <c r="O173" s="301">
        <f t="shared" si="95"/>
        <v>34.88999999999999</v>
      </c>
      <c r="P173" s="301">
        <v>21.31</v>
      </c>
      <c r="Q173" s="301"/>
      <c r="R173" s="301">
        <v>13.02</v>
      </c>
      <c r="S173" s="301">
        <f t="shared" si="108"/>
        <v>43.17999999999999</v>
      </c>
      <c r="T173" s="307">
        <f t="shared" si="100"/>
        <v>13.02</v>
      </c>
      <c r="U173" s="475">
        <f t="shared" si="101"/>
        <v>2121.59</v>
      </c>
      <c r="V173" s="475">
        <f t="shared" si="102"/>
        <v>0</v>
      </c>
      <c r="W173" s="475">
        <f t="shared" si="103"/>
        <v>2134.61</v>
      </c>
      <c r="X173" s="444">
        <f t="shared" si="104"/>
        <v>43541.2</v>
      </c>
      <c r="Y173" s="444">
        <f t="shared" si="105"/>
        <v>42159.98</v>
      </c>
      <c r="Z173" s="512">
        <f t="shared" si="106"/>
        <v>40038.39</v>
      </c>
      <c r="AB173" s="8">
        <f t="shared" si="96"/>
        <v>130825.68999999999</v>
      </c>
      <c r="AC173" s="8">
        <f t="shared" si="97"/>
        <v>130772.97</v>
      </c>
      <c r="AD173" s="41"/>
    </row>
    <row r="174" spans="1:30" ht="24" customHeight="1">
      <c r="A174" s="431" t="s">
        <v>124</v>
      </c>
      <c r="B174" s="428">
        <f t="shared" si="91"/>
        <v>112359.52000000009</v>
      </c>
      <c r="C174" s="428">
        <v>14903.07</v>
      </c>
      <c r="D174" s="428">
        <v>11982.42</v>
      </c>
      <c r="E174" s="428"/>
      <c r="F174" s="428">
        <f t="shared" si="92"/>
        <v>115280.17000000009</v>
      </c>
      <c r="G174" s="285">
        <f t="shared" si="93"/>
        <v>0</v>
      </c>
      <c r="H174" s="604"/>
      <c r="I174" s="1030">
        <v>0</v>
      </c>
      <c r="J174" s="285">
        <f t="shared" si="98"/>
        <v>0</v>
      </c>
      <c r="K174" s="302">
        <f t="shared" si="94"/>
        <v>0</v>
      </c>
      <c r="L174" s="965"/>
      <c r="M174" s="1032"/>
      <c r="N174" s="302">
        <f t="shared" si="99"/>
        <v>0</v>
      </c>
      <c r="O174" s="301">
        <f t="shared" si="95"/>
        <v>19.19</v>
      </c>
      <c r="P174" s="301">
        <v>15.33</v>
      </c>
      <c r="Q174" s="301"/>
      <c r="R174" s="301">
        <v>6.42</v>
      </c>
      <c r="S174" s="301">
        <f t="shared" si="108"/>
        <v>28.1</v>
      </c>
      <c r="T174" s="307">
        <f t="shared" si="100"/>
        <v>6.42</v>
      </c>
      <c r="U174" s="475">
        <f t="shared" si="101"/>
        <v>0</v>
      </c>
      <c r="V174" s="475">
        <f t="shared" si="102"/>
        <v>0</v>
      </c>
      <c r="W174" s="475">
        <f t="shared" si="103"/>
        <v>6.42</v>
      </c>
      <c r="X174" s="444">
        <f t="shared" si="104"/>
        <v>14918.4</v>
      </c>
      <c r="Y174" s="444">
        <f t="shared" si="105"/>
        <v>11988.84</v>
      </c>
      <c r="Z174" s="512">
        <f t="shared" si="106"/>
        <v>11988.84</v>
      </c>
      <c r="AB174" s="8">
        <f t="shared" si="96"/>
        <v>44880.19</v>
      </c>
      <c r="AC174" s="8">
        <f t="shared" si="97"/>
        <v>43454.350000000006</v>
      </c>
      <c r="AD174" s="41"/>
    </row>
    <row r="175" spans="1:30" ht="18.75">
      <c r="A175" s="691" t="s">
        <v>188</v>
      </c>
      <c r="B175" s="428">
        <f t="shared" si="91"/>
        <v>14928.80999999994</v>
      </c>
      <c r="C175" s="702">
        <v>39551.25</v>
      </c>
      <c r="D175" s="702">
        <v>35283.16</v>
      </c>
      <c r="E175" s="450"/>
      <c r="F175" s="428">
        <f t="shared" si="92"/>
        <v>19196.899999999936</v>
      </c>
      <c r="G175" s="285">
        <f t="shared" si="93"/>
        <v>3728.55</v>
      </c>
      <c r="H175" s="604">
        <v>338.67</v>
      </c>
      <c r="I175" s="1030">
        <v>0</v>
      </c>
      <c r="J175" s="285">
        <f t="shared" si="98"/>
        <v>4067.2200000000003</v>
      </c>
      <c r="K175" s="302">
        <f t="shared" si="94"/>
        <v>-9882.719999999998</v>
      </c>
      <c r="L175" s="965">
        <f>666.74+435.13+359.87</f>
        <v>1461.7399999999998</v>
      </c>
      <c r="M175" s="914">
        <v>4435.13</v>
      </c>
      <c r="N175" s="302">
        <f t="shared" si="99"/>
        <v>-12856.109999999997</v>
      </c>
      <c r="O175" s="301">
        <f t="shared" si="95"/>
        <v>-16567.74</v>
      </c>
      <c r="P175" s="637">
        <v>47.76</v>
      </c>
      <c r="Q175" s="637"/>
      <c r="R175" s="637">
        <v>29.5</v>
      </c>
      <c r="S175" s="301">
        <f t="shared" si="108"/>
        <v>-16549.480000000003</v>
      </c>
      <c r="T175" s="307">
        <f t="shared" si="100"/>
        <v>29.5</v>
      </c>
      <c r="U175" s="475">
        <f t="shared" si="101"/>
        <v>4435.13</v>
      </c>
      <c r="V175" s="475">
        <f t="shared" si="102"/>
        <v>0</v>
      </c>
      <c r="W175" s="475">
        <f t="shared" si="103"/>
        <v>4464.63</v>
      </c>
      <c r="X175" s="444">
        <f t="shared" si="104"/>
        <v>41399.42</v>
      </c>
      <c r="Y175" s="444">
        <f t="shared" si="105"/>
        <v>39747.79</v>
      </c>
      <c r="Z175" s="512">
        <f t="shared" si="106"/>
        <v>35312.66</v>
      </c>
      <c r="AB175" s="8">
        <f t="shared" si="96"/>
        <v>125090.56999999999</v>
      </c>
      <c r="AC175" s="8">
        <f t="shared" si="97"/>
        <v>148036.23</v>
      </c>
      <c r="AD175" s="41"/>
    </row>
    <row r="176" spans="1:30" ht="24" customHeight="1">
      <c r="A176" s="691" t="s">
        <v>189</v>
      </c>
      <c r="B176" s="428">
        <f t="shared" si="91"/>
        <v>130452.23999999996</v>
      </c>
      <c r="C176" s="702">
        <v>45631.94</v>
      </c>
      <c r="D176" s="702">
        <v>52726.89</v>
      </c>
      <c r="E176" s="450"/>
      <c r="F176" s="428">
        <f t="shared" si="92"/>
        <v>123357.28999999996</v>
      </c>
      <c r="G176" s="285">
        <f t="shared" si="93"/>
        <v>14881.339999999998</v>
      </c>
      <c r="H176" s="604">
        <v>2162.4</v>
      </c>
      <c r="I176" s="1030">
        <v>0</v>
      </c>
      <c r="J176" s="285">
        <f t="shared" si="98"/>
        <v>17043.739999999998</v>
      </c>
      <c r="K176" s="302">
        <f t="shared" si="94"/>
        <v>-15126.019999999997</v>
      </c>
      <c r="L176" s="965">
        <f>701.19</f>
        <v>701.19</v>
      </c>
      <c r="M176" s="914">
        <v>0</v>
      </c>
      <c r="N176" s="302">
        <f t="shared" si="99"/>
        <v>-14424.829999999996</v>
      </c>
      <c r="O176" s="301">
        <f t="shared" si="95"/>
        <v>-62987.99999999999</v>
      </c>
      <c r="P176" s="637">
        <v>118.91</v>
      </c>
      <c r="Q176" s="637"/>
      <c r="R176" s="637">
        <f>2380.13</f>
        <v>2380.13</v>
      </c>
      <c r="S176" s="301">
        <f t="shared" si="108"/>
        <v>-65249.21999999999</v>
      </c>
      <c r="T176" s="307">
        <f t="shared" si="100"/>
        <v>2380.13</v>
      </c>
      <c r="U176" s="475">
        <f t="shared" si="101"/>
        <v>0</v>
      </c>
      <c r="V176" s="475">
        <f t="shared" si="102"/>
        <v>0</v>
      </c>
      <c r="W176" s="475">
        <f t="shared" si="103"/>
        <v>2380.13</v>
      </c>
      <c r="X176" s="444">
        <f t="shared" si="104"/>
        <v>48614.44000000001</v>
      </c>
      <c r="Y176" s="444">
        <f t="shared" si="105"/>
        <v>55107.02</v>
      </c>
      <c r="Z176" s="512">
        <f t="shared" si="106"/>
        <v>55107.02</v>
      </c>
      <c r="AB176" s="8">
        <f t="shared" si="96"/>
        <v>149929.03000000003</v>
      </c>
      <c r="AC176" s="8">
        <f t="shared" si="97"/>
        <v>199209.83</v>
      </c>
      <c r="AD176" s="41"/>
    </row>
    <row r="177" spans="1:30" ht="24" customHeight="1">
      <c r="A177" s="879" t="s">
        <v>251</v>
      </c>
      <c r="B177" s="428">
        <f t="shared" si="91"/>
        <v>117774.56999999999</v>
      </c>
      <c r="C177" s="702">
        <v>42325.8</v>
      </c>
      <c r="D177" s="702">
        <v>41525.2</v>
      </c>
      <c r="E177" s="450"/>
      <c r="F177" s="428">
        <f t="shared" si="92"/>
        <v>118575.17</v>
      </c>
      <c r="G177" s="285">
        <f t="shared" si="93"/>
        <v>0</v>
      </c>
      <c r="H177" s="604"/>
      <c r="I177" s="1030">
        <v>0</v>
      </c>
      <c r="J177" s="285">
        <f t="shared" si="98"/>
        <v>0</v>
      </c>
      <c r="K177" s="302">
        <f t="shared" si="94"/>
        <v>-64230.53</v>
      </c>
      <c r="L177" s="965">
        <v>1284.72</v>
      </c>
      <c r="M177" s="914">
        <v>0</v>
      </c>
      <c r="N177" s="302">
        <f t="shared" si="99"/>
        <v>-62945.81</v>
      </c>
      <c r="O177" s="301">
        <f t="shared" si="95"/>
        <v>-72269.27000000002</v>
      </c>
      <c r="P177" s="637">
        <v>93.49</v>
      </c>
      <c r="Q177" s="637"/>
      <c r="R177" s="637">
        <f>85.7+341.22</f>
        <v>426.92</v>
      </c>
      <c r="S177" s="301">
        <f t="shared" si="108"/>
        <v>-72602.70000000001</v>
      </c>
      <c r="T177" s="307">
        <f t="shared" si="100"/>
        <v>426.92</v>
      </c>
      <c r="U177" s="475">
        <f t="shared" si="101"/>
        <v>0</v>
      </c>
      <c r="V177" s="475">
        <f t="shared" si="102"/>
        <v>0</v>
      </c>
      <c r="W177" s="475">
        <f t="shared" si="103"/>
        <v>426.92</v>
      </c>
      <c r="X177" s="444">
        <f t="shared" si="104"/>
        <v>43704.01</v>
      </c>
      <c r="Y177" s="444">
        <f t="shared" si="105"/>
        <v>41952.119999999995</v>
      </c>
      <c r="Z177" s="512">
        <f t="shared" si="106"/>
        <v>41952.119999999995</v>
      </c>
      <c r="AB177" s="8">
        <f t="shared" si="96"/>
        <v>129423.64000000001</v>
      </c>
      <c r="AC177" s="8">
        <f t="shared" si="97"/>
        <v>167917.33</v>
      </c>
      <c r="AD177" s="41"/>
    </row>
    <row r="178" spans="1:30" ht="24" customHeight="1">
      <c r="A178" s="879" t="s">
        <v>249</v>
      </c>
      <c r="B178" s="428">
        <f t="shared" si="91"/>
        <v>97231.27000000002</v>
      </c>
      <c r="C178" s="702">
        <v>15747.89</v>
      </c>
      <c r="D178" s="702">
        <v>9661.42</v>
      </c>
      <c r="E178" s="450"/>
      <c r="F178" s="428">
        <f t="shared" si="92"/>
        <v>103317.74000000002</v>
      </c>
      <c r="G178" s="285">
        <f t="shared" si="93"/>
        <v>0</v>
      </c>
      <c r="H178" s="604"/>
      <c r="I178" s="1030">
        <v>0</v>
      </c>
      <c r="J178" s="285">
        <f t="shared" si="98"/>
        <v>0</v>
      </c>
      <c r="K178" s="302">
        <f t="shared" si="94"/>
        <v>0</v>
      </c>
      <c r="L178" s="965">
        <v>0</v>
      </c>
      <c r="M178" s="1033"/>
      <c r="N178" s="302">
        <f t="shared" si="99"/>
        <v>0</v>
      </c>
      <c r="O178" s="301">
        <f t="shared" si="95"/>
        <v>13808.119999999999</v>
      </c>
      <c r="P178" s="637">
        <v>1.77</v>
      </c>
      <c r="Q178" s="637"/>
      <c r="R178" s="637">
        <f>1.7+-14.58</f>
        <v>-12.88</v>
      </c>
      <c r="S178" s="301">
        <f t="shared" si="108"/>
        <v>13822.769999999999</v>
      </c>
      <c r="T178" s="307">
        <f t="shared" si="100"/>
        <v>-12.88</v>
      </c>
      <c r="U178" s="475">
        <f t="shared" si="101"/>
        <v>0</v>
      </c>
      <c r="V178" s="475">
        <f t="shared" si="102"/>
        <v>0</v>
      </c>
      <c r="W178" s="475">
        <f t="shared" si="103"/>
        <v>-12.88</v>
      </c>
      <c r="X178" s="444">
        <f t="shared" si="104"/>
        <v>15749.66</v>
      </c>
      <c r="Y178" s="444">
        <f t="shared" si="105"/>
        <v>9648.54</v>
      </c>
      <c r="Z178" s="512">
        <f t="shared" si="106"/>
        <v>9648.54</v>
      </c>
      <c r="AB178" s="8">
        <f t="shared" si="96"/>
        <v>47436.509999999995</v>
      </c>
      <c r="AC178" s="8">
        <f t="shared" si="97"/>
        <v>56984.99</v>
      </c>
      <c r="AD178" s="41"/>
    </row>
    <row r="179" spans="1:30" ht="18.75">
      <c r="A179" s="404" t="s">
        <v>127</v>
      </c>
      <c r="B179" s="451">
        <f>SUM(B154:B178)</f>
        <v>1837597.9000000018</v>
      </c>
      <c r="C179" s="452">
        <f>SUM(C154:C178)</f>
        <v>839198.43</v>
      </c>
      <c r="D179" s="452">
        <f>SUM(D154:D178)</f>
        <v>839699.18</v>
      </c>
      <c r="E179" s="452"/>
      <c r="F179" s="443">
        <f>SUM(F154:F178)</f>
        <v>1837097.1500000022</v>
      </c>
      <c r="G179" s="443">
        <f>SUM(G154:G178)</f>
        <v>158870.86999999997</v>
      </c>
      <c r="H179" s="452">
        <f>SUM(H154:H176)</f>
        <v>10097.32</v>
      </c>
      <c r="I179" s="1036">
        <f>SUM(I154:I176)</f>
        <v>0</v>
      </c>
      <c r="J179" s="443">
        <f aca="true" t="shared" si="109" ref="J179:P179">SUM(J154:J178)</f>
        <v>168968.18999999994</v>
      </c>
      <c r="K179" s="443">
        <f t="shared" si="109"/>
        <v>-71396.18999999999</v>
      </c>
      <c r="L179" s="638">
        <f t="shared" si="109"/>
        <v>24341.779999999995</v>
      </c>
      <c r="M179" s="638">
        <f t="shared" si="109"/>
        <v>32538.38</v>
      </c>
      <c r="N179" s="443">
        <f t="shared" si="109"/>
        <v>-79592.78999999998</v>
      </c>
      <c r="O179" s="443">
        <f t="shared" si="109"/>
        <v>-140916.72000000003</v>
      </c>
      <c r="P179" s="484">
        <f t="shared" si="109"/>
        <v>2238.6199999999994</v>
      </c>
      <c r="Q179" s="442"/>
      <c r="R179" s="484">
        <f>SUM(R154:R178)</f>
        <v>5681.740000000001</v>
      </c>
      <c r="S179" s="442">
        <f t="shared" si="108"/>
        <v>-144359.84000000003</v>
      </c>
      <c r="T179" s="638">
        <f>SUM(T154:T178)</f>
        <v>5681.740000000001</v>
      </c>
      <c r="U179" s="443">
        <f>SUM(U154:U178)</f>
        <v>32538.38</v>
      </c>
      <c r="V179" s="443">
        <f>SUM(V154:V176)</f>
        <v>0</v>
      </c>
      <c r="W179" s="443">
        <f>SUM(W154:W178)</f>
        <v>38220.11999999999</v>
      </c>
      <c r="X179" s="372">
        <f>SUM(X154:X178)</f>
        <v>875876.1500000003</v>
      </c>
      <c r="Y179" s="372">
        <f>SUM(Y154:Y178)</f>
        <v>877919.3</v>
      </c>
      <c r="Z179" s="512">
        <f>SUM(Z154:Z178)</f>
        <v>845380.92</v>
      </c>
      <c r="AB179" s="8">
        <f>SUM(AB154:AB178)</f>
        <v>2630281.6699999995</v>
      </c>
      <c r="AC179" s="8">
        <f>SUM(AC154:AC178)</f>
        <v>2742617.0200000005</v>
      </c>
      <c r="AD179" s="41"/>
    </row>
    <row r="180" spans="1:30" s="667" customFormat="1" ht="19.5" thickBot="1">
      <c r="A180" s="920"/>
      <c r="B180" s="921"/>
      <c r="C180" s="911"/>
      <c r="D180" s="908"/>
      <c r="E180" s="908"/>
      <c r="F180" s="909"/>
      <c r="G180" s="910"/>
      <c r="H180" s="911"/>
      <c r="I180" s="917"/>
      <c r="J180" s="909"/>
      <c r="K180" s="910"/>
      <c r="L180" s="922"/>
      <c r="M180" s="917"/>
      <c r="N180" s="909"/>
      <c r="O180" s="910"/>
      <c r="P180" s="923"/>
      <c r="Q180" s="924"/>
      <c r="R180" s="925"/>
      <c r="S180" s="926"/>
      <c r="T180" s="922"/>
      <c r="U180" s="917"/>
      <c r="V180" s="917"/>
      <c r="W180" s="909"/>
      <c r="X180" s="866"/>
      <c r="Y180" s="866"/>
      <c r="Z180" s="726"/>
      <c r="AB180" s="927"/>
      <c r="AC180" s="878"/>
      <c r="AD180" s="550"/>
    </row>
    <row r="181" spans="1:28" ht="45" customHeight="1" thickBot="1">
      <c r="A181" s="407" t="s">
        <v>129</v>
      </c>
      <c r="B181" s="410" t="s">
        <v>22</v>
      </c>
      <c r="C181" s="1585" t="s">
        <v>98</v>
      </c>
      <c r="D181" s="1586"/>
      <c r="E181" s="1586"/>
      <c r="F181" s="1591"/>
      <c r="G181" s="85" t="s">
        <v>27</v>
      </c>
      <c r="H181" s="1594" t="s">
        <v>97</v>
      </c>
      <c r="I181" s="1595"/>
      <c r="J181" s="1596"/>
      <c r="K181" s="88" t="s">
        <v>27</v>
      </c>
      <c r="L181" s="1582" t="s">
        <v>4</v>
      </c>
      <c r="M181" s="1583"/>
      <c r="N181" s="1584"/>
      <c r="O181" s="84" t="s">
        <v>27</v>
      </c>
      <c r="P181" s="112" t="s">
        <v>23</v>
      </c>
      <c r="Q181" s="113"/>
      <c r="R181" s="113"/>
      <c r="S181" s="114"/>
      <c r="T181" s="1605" t="s">
        <v>292</v>
      </c>
      <c r="U181" s="1606"/>
      <c r="V181" s="1606"/>
      <c r="W181" s="1607"/>
      <c r="X181" s="1592" t="s">
        <v>293</v>
      </c>
      <c r="Y181" s="1593"/>
      <c r="Z181" s="1593"/>
      <c r="AA181" s="1593"/>
      <c r="AB181" s="640"/>
    </row>
    <row r="182" spans="1:31" ht="54.75" thickBot="1">
      <c r="A182" s="406" t="s">
        <v>1</v>
      </c>
      <c r="B182" s="410" t="s">
        <v>202</v>
      </c>
      <c r="C182" s="81" t="s">
        <v>5</v>
      </c>
      <c r="D182" s="81" t="s">
        <v>6</v>
      </c>
      <c r="E182" s="81" t="s">
        <v>65</v>
      </c>
      <c r="F182" s="81" t="s">
        <v>7</v>
      </c>
      <c r="G182" s="86" t="s">
        <v>173</v>
      </c>
      <c r="H182" s="87" t="s">
        <v>5</v>
      </c>
      <c r="I182" s="87" t="s">
        <v>6</v>
      </c>
      <c r="J182" s="86" t="s">
        <v>171</v>
      </c>
      <c r="K182" s="115" t="s">
        <v>36</v>
      </c>
      <c r="L182" s="115" t="s">
        <v>5</v>
      </c>
      <c r="M182" s="115" t="s">
        <v>6</v>
      </c>
      <c r="N182" s="115" t="s">
        <v>25</v>
      </c>
      <c r="O182" s="116" t="s">
        <v>172</v>
      </c>
      <c r="P182" s="116" t="s">
        <v>5</v>
      </c>
      <c r="Q182" s="116" t="s">
        <v>64</v>
      </c>
      <c r="R182" s="116" t="s">
        <v>6</v>
      </c>
      <c r="S182" s="116" t="s">
        <v>25</v>
      </c>
      <c r="T182" s="248" t="s">
        <v>104</v>
      </c>
      <c r="U182" s="248" t="s">
        <v>69</v>
      </c>
      <c r="V182" s="248" t="s">
        <v>95</v>
      </c>
      <c r="W182" s="251" t="s">
        <v>105</v>
      </c>
      <c r="X182" s="190" t="s">
        <v>67</v>
      </c>
      <c r="Y182" s="182" t="s">
        <v>69</v>
      </c>
      <c r="Z182" s="191" t="s">
        <v>82</v>
      </c>
      <c r="AA182" s="621" t="s">
        <v>75</v>
      </c>
      <c r="AB182" s="619" t="s">
        <v>169</v>
      </c>
      <c r="AC182" s="587" t="s">
        <v>106</v>
      </c>
      <c r="AD182" s="587" t="s">
        <v>107</v>
      </c>
      <c r="AE182" s="586" t="s">
        <v>156</v>
      </c>
    </row>
    <row r="183" spans="1:31" ht="18.75">
      <c r="A183" s="117" t="s">
        <v>47</v>
      </c>
      <c r="B183" s="74">
        <f aca="true" t="shared" si="110" ref="B183:B207">F154</f>
        <v>119515.34999999995</v>
      </c>
      <c r="C183" s="446">
        <v>13336.39</v>
      </c>
      <c r="D183" s="246">
        <v>12220.65</v>
      </c>
      <c r="E183" s="72"/>
      <c r="F183" s="74">
        <f>B183+C183-D183</f>
        <v>120631.08999999994</v>
      </c>
      <c r="G183" s="258">
        <f aca="true" t="shared" si="111" ref="G183:G207">J154</f>
        <v>24106.519999999982</v>
      </c>
      <c r="H183" s="601">
        <v>1334.01</v>
      </c>
      <c r="I183" s="1030">
        <v>0</v>
      </c>
      <c r="J183" s="285">
        <f>G183+H183-I183</f>
        <v>25440.52999999998</v>
      </c>
      <c r="K183" s="302">
        <f aca="true" t="shared" si="112" ref="K183:K207">N154</f>
        <v>-5365.19</v>
      </c>
      <c r="L183" s="1040">
        <v>4271.8</v>
      </c>
      <c r="M183" s="1031">
        <v>4271.8</v>
      </c>
      <c r="N183" s="108">
        <f>K183+L183-M183</f>
        <v>-5365.19</v>
      </c>
      <c r="O183" s="301">
        <f aca="true" t="shared" si="113" ref="O183:O207">S154</f>
        <v>-1360.4600000000003</v>
      </c>
      <c r="P183" s="472">
        <v>106.5</v>
      </c>
      <c r="Q183" s="268"/>
      <c r="R183" s="635">
        <v>99.56</v>
      </c>
      <c r="S183" s="301">
        <f>O183+P183-R183</f>
        <v>-1353.5200000000002</v>
      </c>
      <c r="T183" s="252">
        <f>R183</f>
        <v>99.56</v>
      </c>
      <c r="U183" s="252">
        <f>M183</f>
        <v>4271.8</v>
      </c>
      <c r="V183" s="252">
        <f>I183</f>
        <v>0</v>
      </c>
      <c r="W183" s="253">
        <f>T183+U183+V183</f>
        <v>4371.360000000001</v>
      </c>
      <c r="X183" s="249">
        <f>T125+T154+T183</f>
        <v>209.47</v>
      </c>
      <c r="Y183" s="250">
        <f>U125+U154+U183</f>
        <v>12815.400000000001</v>
      </c>
      <c r="Z183" s="250">
        <f>V125+V154+V183</f>
        <v>0</v>
      </c>
      <c r="AA183" s="622">
        <f>X183+Y183+Z183</f>
        <v>13024.87</v>
      </c>
      <c r="AB183" s="620">
        <f>Y183+Z183</f>
        <v>12815.400000000001</v>
      </c>
      <c r="AC183" s="270">
        <f>C183+H183+L183+P183</f>
        <v>19048.7</v>
      </c>
      <c r="AD183" s="444">
        <f>D183+I183+M183+R183</f>
        <v>16592.010000000002</v>
      </c>
      <c r="AE183" s="512">
        <f>D183+R183</f>
        <v>12320.21</v>
      </c>
    </row>
    <row r="184" spans="1:31" ht="18.75">
      <c r="A184" s="73" t="s">
        <v>53</v>
      </c>
      <c r="B184" s="74">
        <f t="shared" si="110"/>
        <v>117855.89000000019</v>
      </c>
      <c r="C184" s="446">
        <v>29755.06</v>
      </c>
      <c r="D184" s="246">
        <v>27179.14</v>
      </c>
      <c r="E184" s="72"/>
      <c r="F184" s="74">
        <f aca="true" t="shared" si="114" ref="F184:F207">B184+C184-D184</f>
        <v>120431.81000000019</v>
      </c>
      <c r="G184" s="258">
        <f t="shared" si="111"/>
        <v>1390.1399999999999</v>
      </c>
      <c r="H184" s="601">
        <v>258.4</v>
      </c>
      <c r="I184" s="1030">
        <v>0</v>
      </c>
      <c r="J184" s="285">
        <f aca="true" t="shared" si="115" ref="J184:J207">G184+H184-I184</f>
        <v>1648.54</v>
      </c>
      <c r="K184" s="302">
        <f t="shared" si="112"/>
        <v>-3140.279999999999</v>
      </c>
      <c r="L184" s="1040">
        <v>120.78</v>
      </c>
      <c r="M184" s="1031">
        <v>0</v>
      </c>
      <c r="N184" s="108">
        <f aca="true" t="shared" si="116" ref="N184:N207">K184+L184-M184</f>
        <v>-3019.4999999999986</v>
      </c>
      <c r="O184" s="301">
        <f t="shared" si="113"/>
        <v>-843.5500000000002</v>
      </c>
      <c r="P184" s="472">
        <v>100.37</v>
      </c>
      <c r="Q184" s="268"/>
      <c r="R184" s="635">
        <v>77.4</v>
      </c>
      <c r="S184" s="301">
        <f aca="true" t="shared" si="117" ref="S184:S207">O184+P184-R184</f>
        <v>-820.5800000000002</v>
      </c>
      <c r="T184" s="252">
        <f aca="true" t="shared" si="118" ref="T184:T207">R184</f>
        <v>77.4</v>
      </c>
      <c r="U184" s="252">
        <f aca="true" t="shared" si="119" ref="U184:U207">M184</f>
        <v>0</v>
      </c>
      <c r="V184" s="252">
        <f aca="true" t="shared" si="120" ref="V184:V207">I184</f>
        <v>0</v>
      </c>
      <c r="W184" s="253">
        <f aca="true" t="shared" si="121" ref="W184:W207">T184+U184+V184</f>
        <v>77.4</v>
      </c>
      <c r="X184" s="249">
        <f aca="true" t="shared" si="122" ref="X184:X207">T126+T155+T184</f>
        <v>2026.66</v>
      </c>
      <c r="Y184" s="250">
        <f aca="true" t="shared" si="123" ref="Y184:Y207">U126+U155+U184</f>
        <v>0</v>
      </c>
      <c r="Z184" s="250">
        <f aca="true" t="shared" si="124" ref="Z184:Z207">V126+V155+V184</f>
        <v>0</v>
      </c>
      <c r="AA184" s="622">
        <f aca="true" t="shared" si="125" ref="AA184:AA207">X184+Y184+Z184</f>
        <v>2026.66</v>
      </c>
      <c r="AB184" s="620">
        <f aca="true" t="shared" si="126" ref="AB184:AB207">Y184+Z184</f>
        <v>0</v>
      </c>
      <c r="AC184" s="270">
        <f aca="true" t="shared" si="127" ref="AC184:AC207">C184+H184+L184+P184</f>
        <v>30234.61</v>
      </c>
      <c r="AD184" s="444">
        <f aca="true" t="shared" si="128" ref="AD184:AD207">D184+I184+M184+R184</f>
        <v>27256.54</v>
      </c>
      <c r="AE184" s="512">
        <f aca="true" t="shared" si="129" ref="AE184:AE207">D184+R184</f>
        <v>27256.54</v>
      </c>
    </row>
    <row r="185" spans="1:31" ht="18.75">
      <c r="A185" s="73" t="s">
        <v>8</v>
      </c>
      <c r="B185" s="74">
        <f t="shared" si="110"/>
        <v>74445.62</v>
      </c>
      <c r="C185" s="428"/>
      <c r="D185" s="74"/>
      <c r="E185" s="74"/>
      <c r="F185" s="74">
        <f t="shared" si="114"/>
        <v>74445.62</v>
      </c>
      <c r="G185" s="258">
        <f t="shared" si="111"/>
        <v>0</v>
      </c>
      <c r="H185" s="602"/>
      <c r="I185" s="1030">
        <v>0</v>
      </c>
      <c r="J185" s="285">
        <f t="shared" si="115"/>
        <v>0</v>
      </c>
      <c r="K185" s="302">
        <f t="shared" si="112"/>
        <v>0</v>
      </c>
      <c r="L185" s="1040"/>
      <c r="M185" s="1031"/>
      <c r="N185" s="108">
        <f t="shared" si="116"/>
        <v>0</v>
      </c>
      <c r="O185" s="301">
        <f t="shared" si="113"/>
        <v>0</v>
      </c>
      <c r="P185" s="301"/>
      <c r="Q185" s="263"/>
      <c r="R185" s="312"/>
      <c r="S185" s="301">
        <f t="shared" si="117"/>
        <v>0</v>
      </c>
      <c r="T185" s="252">
        <f t="shared" si="118"/>
        <v>0</v>
      </c>
      <c r="U185" s="252">
        <f t="shared" si="119"/>
        <v>0</v>
      </c>
      <c r="V185" s="252">
        <f t="shared" si="120"/>
        <v>0</v>
      </c>
      <c r="W185" s="253">
        <f t="shared" si="121"/>
        <v>0</v>
      </c>
      <c r="X185" s="249">
        <f t="shared" si="122"/>
        <v>0</v>
      </c>
      <c r="Y185" s="250">
        <f t="shared" si="123"/>
        <v>0</v>
      </c>
      <c r="Z185" s="250">
        <f t="shared" si="124"/>
        <v>0</v>
      </c>
      <c r="AA185" s="622">
        <f t="shared" si="125"/>
        <v>0</v>
      </c>
      <c r="AB185" s="620">
        <f t="shared" si="126"/>
        <v>0</v>
      </c>
      <c r="AC185" s="270">
        <f t="shared" si="127"/>
        <v>0</v>
      </c>
      <c r="AD185" s="444">
        <f t="shared" si="128"/>
        <v>0</v>
      </c>
      <c r="AE185" s="512">
        <f t="shared" si="129"/>
        <v>0</v>
      </c>
    </row>
    <row r="186" spans="1:31" ht="18.75">
      <c r="A186" s="73" t="s">
        <v>48</v>
      </c>
      <c r="B186" s="74">
        <f t="shared" si="110"/>
        <v>352782.7100000002</v>
      </c>
      <c r="C186" s="428">
        <v>70193.04</v>
      </c>
      <c r="D186" s="74">
        <v>69493.79</v>
      </c>
      <c r="E186" s="74"/>
      <c r="F186" s="74">
        <f t="shared" si="114"/>
        <v>353481.9600000002</v>
      </c>
      <c r="G186" s="258">
        <f t="shared" si="111"/>
        <v>29726.639999999996</v>
      </c>
      <c r="H186" s="602">
        <v>1241.79</v>
      </c>
      <c r="I186" s="1030">
        <v>0</v>
      </c>
      <c r="J186" s="285">
        <f t="shared" si="115"/>
        <v>30968.429999999997</v>
      </c>
      <c r="K186" s="302">
        <f t="shared" si="112"/>
        <v>1093.3200000000015</v>
      </c>
      <c r="L186" s="1040">
        <f>1653.07+242.74</f>
        <v>1895.81</v>
      </c>
      <c r="M186" s="1031">
        <v>802.42</v>
      </c>
      <c r="N186" s="108">
        <f t="shared" si="116"/>
        <v>2186.7100000000014</v>
      </c>
      <c r="O186" s="301">
        <f t="shared" si="113"/>
        <v>-2161.369999999999</v>
      </c>
      <c r="P186" s="301">
        <v>242.88</v>
      </c>
      <c r="Q186" s="263"/>
      <c r="R186" s="705">
        <v>275.24</v>
      </c>
      <c r="S186" s="301">
        <f t="shared" si="117"/>
        <v>-2193.7299999999987</v>
      </c>
      <c r="T186" s="252">
        <f t="shared" si="118"/>
        <v>275.24</v>
      </c>
      <c r="U186" s="252">
        <f t="shared" si="119"/>
        <v>802.42</v>
      </c>
      <c r="V186" s="252">
        <f t="shared" si="120"/>
        <v>0</v>
      </c>
      <c r="W186" s="253">
        <f t="shared" si="121"/>
        <v>1077.6599999999999</v>
      </c>
      <c r="X186" s="249">
        <f t="shared" si="122"/>
        <v>717.77</v>
      </c>
      <c r="Y186" s="250">
        <f t="shared" si="123"/>
        <v>3257.91</v>
      </c>
      <c r="Z186" s="250">
        <f t="shared" si="124"/>
        <v>0</v>
      </c>
      <c r="AA186" s="622">
        <f t="shared" si="125"/>
        <v>3975.68</v>
      </c>
      <c r="AB186" s="620">
        <f t="shared" si="126"/>
        <v>3257.91</v>
      </c>
      <c r="AC186" s="270">
        <f t="shared" si="127"/>
        <v>73573.51999999999</v>
      </c>
      <c r="AD186" s="444">
        <f t="shared" si="128"/>
        <v>70571.45</v>
      </c>
      <c r="AE186" s="512">
        <f t="shared" si="129"/>
        <v>69769.03</v>
      </c>
    </row>
    <row r="187" spans="1:31" ht="18.75">
      <c r="A187" s="73" t="s">
        <v>9</v>
      </c>
      <c r="B187" s="74">
        <f t="shared" si="110"/>
        <v>120542.6500000001</v>
      </c>
      <c r="C187" s="428">
        <v>17857.29</v>
      </c>
      <c r="D187" s="74">
        <v>19685.07</v>
      </c>
      <c r="E187" s="74"/>
      <c r="F187" s="74">
        <f t="shared" si="114"/>
        <v>118714.87000000008</v>
      </c>
      <c r="G187" s="258">
        <f t="shared" si="111"/>
        <v>35838.07</v>
      </c>
      <c r="H187" s="602">
        <f>1527.99+99.64</f>
        <v>1627.63</v>
      </c>
      <c r="I187" s="1030">
        <v>0</v>
      </c>
      <c r="J187" s="285">
        <f t="shared" si="115"/>
        <v>37465.7</v>
      </c>
      <c r="K187" s="302">
        <f t="shared" si="112"/>
        <v>0</v>
      </c>
      <c r="L187" s="1040"/>
      <c r="M187" s="1031"/>
      <c r="N187" s="108">
        <f t="shared" si="116"/>
        <v>0</v>
      </c>
      <c r="O187" s="301">
        <f t="shared" si="113"/>
        <v>271.81999999999994</v>
      </c>
      <c r="P187" s="301">
        <v>62</v>
      </c>
      <c r="Q187" s="263"/>
      <c r="R187" s="634">
        <v>19.57</v>
      </c>
      <c r="S187" s="301">
        <f t="shared" si="117"/>
        <v>314.24999999999994</v>
      </c>
      <c r="T187" s="252">
        <f t="shared" si="118"/>
        <v>19.57</v>
      </c>
      <c r="U187" s="252">
        <f t="shared" si="119"/>
        <v>0</v>
      </c>
      <c r="V187" s="252">
        <f t="shared" si="120"/>
        <v>0</v>
      </c>
      <c r="W187" s="253">
        <f t="shared" si="121"/>
        <v>19.57</v>
      </c>
      <c r="X187" s="249">
        <f t="shared" si="122"/>
        <v>130.5</v>
      </c>
      <c r="Y187" s="250">
        <f t="shared" si="123"/>
        <v>0</v>
      </c>
      <c r="Z187" s="250">
        <f t="shared" si="124"/>
        <v>0</v>
      </c>
      <c r="AA187" s="622">
        <f t="shared" si="125"/>
        <v>130.5</v>
      </c>
      <c r="AB187" s="620">
        <f t="shared" si="126"/>
        <v>0</v>
      </c>
      <c r="AC187" s="270">
        <f t="shared" si="127"/>
        <v>19546.920000000002</v>
      </c>
      <c r="AD187" s="444">
        <f t="shared" si="128"/>
        <v>19704.64</v>
      </c>
      <c r="AE187" s="512">
        <f t="shared" si="129"/>
        <v>19704.64</v>
      </c>
    </row>
    <row r="188" spans="1:31" ht="18.75">
      <c r="A188" s="73" t="s">
        <v>10</v>
      </c>
      <c r="B188" s="74">
        <f t="shared" si="110"/>
        <v>11341.860000000084</v>
      </c>
      <c r="C188" s="428">
        <v>7795.77</v>
      </c>
      <c r="D188" s="74">
        <v>9168.51</v>
      </c>
      <c r="E188" s="74"/>
      <c r="F188" s="74">
        <f t="shared" si="114"/>
        <v>9969.120000000084</v>
      </c>
      <c r="G188" s="258">
        <f t="shared" si="111"/>
        <v>0</v>
      </c>
      <c r="H188" s="602"/>
      <c r="I188" s="1030">
        <v>0</v>
      </c>
      <c r="J188" s="285">
        <f t="shared" si="115"/>
        <v>0</v>
      </c>
      <c r="K188" s="302">
        <f t="shared" si="112"/>
        <v>0</v>
      </c>
      <c r="L188" s="1040"/>
      <c r="M188" s="1031"/>
      <c r="N188" s="108">
        <f t="shared" si="116"/>
        <v>0</v>
      </c>
      <c r="O188" s="301">
        <f t="shared" si="113"/>
        <v>14.799999999999988</v>
      </c>
      <c r="P188" s="301">
        <v>29.63</v>
      </c>
      <c r="Q188" s="263"/>
      <c r="R188" s="301">
        <v>29.1</v>
      </c>
      <c r="S188" s="301">
        <f t="shared" si="117"/>
        <v>15.329999999999984</v>
      </c>
      <c r="T188" s="252">
        <f t="shared" si="118"/>
        <v>29.1</v>
      </c>
      <c r="U188" s="252">
        <f t="shared" si="119"/>
        <v>0</v>
      </c>
      <c r="V188" s="252">
        <f t="shared" si="120"/>
        <v>0</v>
      </c>
      <c r="W188" s="253">
        <f t="shared" si="121"/>
        <v>29.1</v>
      </c>
      <c r="X188" s="249">
        <f t="shared" si="122"/>
        <v>30.41</v>
      </c>
      <c r="Y188" s="250">
        <f t="shared" si="123"/>
        <v>0</v>
      </c>
      <c r="Z188" s="250">
        <f t="shared" si="124"/>
        <v>0</v>
      </c>
      <c r="AA188" s="622">
        <f t="shared" si="125"/>
        <v>30.41</v>
      </c>
      <c r="AB188" s="620">
        <f t="shared" si="126"/>
        <v>0</v>
      </c>
      <c r="AC188" s="270">
        <f t="shared" si="127"/>
        <v>7825.400000000001</v>
      </c>
      <c r="AD188" s="444">
        <f t="shared" si="128"/>
        <v>9197.61</v>
      </c>
      <c r="AE188" s="512">
        <f t="shared" si="129"/>
        <v>9197.61</v>
      </c>
    </row>
    <row r="189" spans="1:31" ht="18.75">
      <c r="A189" s="73" t="s">
        <v>11</v>
      </c>
      <c r="B189" s="74">
        <f t="shared" si="110"/>
        <v>9255.60000000004</v>
      </c>
      <c r="C189" s="428">
        <v>7768.21</v>
      </c>
      <c r="D189" s="74">
        <v>9089.79</v>
      </c>
      <c r="E189" s="74"/>
      <c r="F189" s="74">
        <f t="shared" si="114"/>
        <v>7934.02000000004</v>
      </c>
      <c r="G189" s="258">
        <f t="shared" si="111"/>
        <v>0</v>
      </c>
      <c r="H189" s="602"/>
      <c r="I189" s="1030">
        <v>0</v>
      </c>
      <c r="J189" s="285">
        <f t="shared" si="115"/>
        <v>0</v>
      </c>
      <c r="K189" s="302">
        <f t="shared" si="112"/>
        <v>0</v>
      </c>
      <c r="L189" s="1040"/>
      <c r="M189" s="1031"/>
      <c r="N189" s="108">
        <f t="shared" si="116"/>
        <v>0</v>
      </c>
      <c r="O189" s="301">
        <f t="shared" si="113"/>
        <v>41.42</v>
      </c>
      <c r="P189" s="301">
        <v>40.8</v>
      </c>
      <c r="Q189" s="263"/>
      <c r="R189" s="301">
        <v>40.8</v>
      </c>
      <c r="S189" s="301">
        <f t="shared" si="117"/>
        <v>41.42</v>
      </c>
      <c r="T189" s="252">
        <f t="shared" si="118"/>
        <v>40.8</v>
      </c>
      <c r="U189" s="252">
        <f t="shared" si="119"/>
        <v>0</v>
      </c>
      <c r="V189" s="252">
        <f t="shared" si="120"/>
        <v>0</v>
      </c>
      <c r="W189" s="253">
        <f t="shared" si="121"/>
        <v>40.8</v>
      </c>
      <c r="X189" s="249">
        <f t="shared" si="122"/>
        <v>43.089999999999996</v>
      </c>
      <c r="Y189" s="250">
        <f t="shared" si="123"/>
        <v>0</v>
      </c>
      <c r="Z189" s="250">
        <f t="shared" si="124"/>
        <v>0</v>
      </c>
      <c r="AA189" s="622">
        <f t="shared" si="125"/>
        <v>43.089999999999996</v>
      </c>
      <c r="AB189" s="620">
        <f t="shared" si="126"/>
        <v>0</v>
      </c>
      <c r="AC189" s="270">
        <f t="shared" si="127"/>
        <v>7809.01</v>
      </c>
      <c r="AD189" s="444">
        <f t="shared" si="128"/>
        <v>9130.59</v>
      </c>
      <c r="AE189" s="512">
        <f t="shared" si="129"/>
        <v>9130.59</v>
      </c>
    </row>
    <row r="190" spans="1:31" ht="18.75">
      <c r="A190" s="73" t="s">
        <v>12</v>
      </c>
      <c r="B190" s="74">
        <f t="shared" si="110"/>
        <v>84023.02000000025</v>
      </c>
      <c r="C190" s="428">
        <v>44463.4</v>
      </c>
      <c r="D190" s="74">
        <v>44026.42</v>
      </c>
      <c r="E190" s="74"/>
      <c r="F190" s="74">
        <f t="shared" si="114"/>
        <v>84460.00000000025</v>
      </c>
      <c r="G190" s="258">
        <f t="shared" si="111"/>
        <v>9311.039999999997</v>
      </c>
      <c r="H190" s="602">
        <v>517.28</v>
      </c>
      <c r="I190" s="1030">
        <v>0</v>
      </c>
      <c r="J190" s="285">
        <f t="shared" si="115"/>
        <v>9828.319999999998</v>
      </c>
      <c r="K190" s="302">
        <f t="shared" si="112"/>
        <v>1508.3999999999987</v>
      </c>
      <c r="L190" s="1040">
        <v>1526.4</v>
      </c>
      <c r="M190" s="1031">
        <v>1526.4</v>
      </c>
      <c r="N190" s="108">
        <f t="shared" si="116"/>
        <v>1508.3999999999987</v>
      </c>
      <c r="O190" s="301">
        <f t="shared" si="113"/>
        <v>300.31999999999994</v>
      </c>
      <c r="P190" s="301">
        <v>157.57</v>
      </c>
      <c r="Q190" s="263"/>
      <c r="R190" s="634">
        <v>151.26</v>
      </c>
      <c r="S190" s="301">
        <f t="shared" si="117"/>
        <v>306.62999999999994</v>
      </c>
      <c r="T190" s="252">
        <f t="shared" si="118"/>
        <v>151.26</v>
      </c>
      <c r="U190" s="252">
        <f t="shared" si="119"/>
        <v>1526.4</v>
      </c>
      <c r="V190" s="252">
        <f t="shared" si="120"/>
        <v>0</v>
      </c>
      <c r="W190" s="253">
        <f t="shared" si="121"/>
        <v>1677.66</v>
      </c>
      <c r="X190" s="249">
        <f t="shared" si="122"/>
        <v>595.81</v>
      </c>
      <c r="Y190" s="250">
        <f t="shared" si="123"/>
        <v>4579.200000000001</v>
      </c>
      <c r="Z190" s="250">
        <f t="shared" si="124"/>
        <v>0</v>
      </c>
      <c r="AA190" s="622">
        <f t="shared" si="125"/>
        <v>5175.01</v>
      </c>
      <c r="AB190" s="620">
        <f t="shared" si="126"/>
        <v>4579.200000000001</v>
      </c>
      <c r="AC190" s="270">
        <f t="shared" si="127"/>
        <v>46664.65</v>
      </c>
      <c r="AD190" s="444">
        <f t="shared" si="128"/>
        <v>45704.08</v>
      </c>
      <c r="AE190" s="512">
        <f t="shared" si="129"/>
        <v>44177.68</v>
      </c>
    </row>
    <row r="191" spans="1:31" ht="18.75">
      <c r="A191" s="73" t="s">
        <v>13</v>
      </c>
      <c r="B191" s="74">
        <f t="shared" si="110"/>
        <v>51924.410000000025</v>
      </c>
      <c r="C191" s="428">
        <v>26273.16</v>
      </c>
      <c r="D191" s="74">
        <v>21136.02</v>
      </c>
      <c r="E191" s="74"/>
      <c r="F191" s="74">
        <f t="shared" si="114"/>
        <v>57061.55000000002</v>
      </c>
      <c r="G191" s="258">
        <f t="shared" si="111"/>
        <v>3313.0299999999984</v>
      </c>
      <c r="H191" s="602">
        <v>174.37</v>
      </c>
      <c r="I191" s="1030">
        <v>0</v>
      </c>
      <c r="J191" s="285">
        <f t="shared" si="115"/>
        <v>3487.3999999999983</v>
      </c>
      <c r="K191" s="302">
        <f t="shared" si="112"/>
        <v>-2290.02</v>
      </c>
      <c r="L191" s="1040">
        <v>645.01</v>
      </c>
      <c r="M191" s="1031">
        <v>645.01</v>
      </c>
      <c r="N191" s="108">
        <f t="shared" si="116"/>
        <v>-2290.02</v>
      </c>
      <c r="O191" s="301">
        <f t="shared" si="113"/>
        <v>96.06000000000009</v>
      </c>
      <c r="P191" s="301">
        <v>3.92</v>
      </c>
      <c r="Q191" s="263"/>
      <c r="R191" s="634">
        <v>3.48</v>
      </c>
      <c r="S191" s="301">
        <f t="shared" si="117"/>
        <v>96.50000000000009</v>
      </c>
      <c r="T191" s="252">
        <f t="shared" si="118"/>
        <v>3.48</v>
      </c>
      <c r="U191" s="252">
        <f t="shared" si="119"/>
        <v>645.01</v>
      </c>
      <c r="V191" s="252">
        <f t="shared" si="120"/>
        <v>0</v>
      </c>
      <c r="W191" s="253">
        <f t="shared" si="121"/>
        <v>648.49</v>
      </c>
      <c r="X191" s="249">
        <f t="shared" si="122"/>
        <v>44.849999999999994</v>
      </c>
      <c r="Y191" s="250">
        <f t="shared" si="123"/>
        <v>1935.03</v>
      </c>
      <c r="Z191" s="250">
        <f t="shared" si="124"/>
        <v>0</v>
      </c>
      <c r="AA191" s="622">
        <f t="shared" si="125"/>
        <v>1979.8799999999999</v>
      </c>
      <c r="AB191" s="620">
        <f t="shared" si="126"/>
        <v>1935.03</v>
      </c>
      <c r="AC191" s="270">
        <f t="shared" si="127"/>
        <v>27096.459999999995</v>
      </c>
      <c r="AD191" s="444">
        <f t="shared" si="128"/>
        <v>21784.51</v>
      </c>
      <c r="AE191" s="512">
        <f t="shared" si="129"/>
        <v>21139.5</v>
      </c>
    </row>
    <row r="192" spans="1:31" ht="18.75">
      <c r="A192" s="73" t="s">
        <v>14</v>
      </c>
      <c r="B192" s="74">
        <f t="shared" si="110"/>
        <v>53179.420000000064</v>
      </c>
      <c r="C192" s="428">
        <v>32415.33</v>
      </c>
      <c r="D192" s="74">
        <v>31719.3</v>
      </c>
      <c r="E192" s="74"/>
      <c r="F192" s="74">
        <f t="shared" si="114"/>
        <v>53875.450000000055</v>
      </c>
      <c r="G192" s="258">
        <f t="shared" si="111"/>
        <v>4867.519999999998</v>
      </c>
      <c r="H192" s="602">
        <v>184.44</v>
      </c>
      <c r="I192" s="1030">
        <v>0</v>
      </c>
      <c r="J192" s="285">
        <f t="shared" si="115"/>
        <v>5051.959999999997</v>
      </c>
      <c r="K192" s="302">
        <f t="shared" si="112"/>
        <v>4609.7699999999995</v>
      </c>
      <c r="L192" s="1040">
        <f>2408.85</f>
        <v>2408.85</v>
      </c>
      <c r="M192" s="1031">
        <v>2785.68</v>
      </c>
      <c r="N192" s="108">
        <f t="shared" si="116"/>
        <v>4232.939999999999</v>
      </c>
      <c r="O192" s="301">
        <f t="shared" si="113"/>
        <v>-398.58000000000004</v>
      </c>
      <c r="P192" s="301">
        <v>26.93</v>
      </c>
      <c r="Q192" s="263"/>
      <c r="R192" s="634">
        <v>27.95</v>
      </c>
      <c r="S192" s="301">
        <f t="shared" si="117"/>
        <v>-399.6</v>
      </c>
      <c r="T192" s="252">
        <f t="shared" si="118"/>
        <v>27.95</v>
      </c>
      <c r="U192" s="252">
        <f t="shared" si="119"/>
        <v>2785.68</v>
      </c>
      <c r="V192" s="252">
        <f t="shared" si="120"/>
        <v>0</v>
      </c>
      <c r="W192" s="253">
        <f t="shared" si="121"/>
        <v>2813.6299999999997</v>
      </c>
      <c r="X192" s="249">
        <f t="shared" si="122"/>
        <v>32.6</v>
      </c>
      <c r="Y192" s="250">
        <f t="shared" si="123"/>
        <v>7615.039999999999</v>
      </c>
      <c r="Z192" s="250">
        <f t="shared" si="124"/>
        <v>0</v>
      </c>
      <c r="AA192" s="622">
        <f t="shared" si="125"/>
        <v>7647.639999999999</v>
      </c>
      <c r="AB192" s="620">
        <f t="shared" si="126"/>
        <v>7615.039999999999</v>
      </c>
      <c r="AC192" s="270">
        <f t="shared" si="127"/>
        <v>35035.55</v>
      </c>
      <c r="AD192" s="444">
        <f t="shared" si="128"/>
        <v>34532.92999999999</v>
      </c>
      <c r="AE192" s="512">
        <f t="shared" si="129"/>
        <v>31747.25</v>
      </c>
    </row>
    <row r="193" spans="1:31" ht="18.75">
      <c r="A193" s="73" t="s">
        <v>55</v>
      </c>
      <c r="B193" s="74">
        <f t="shared" si="110"/>
        <v>44606.77000000001</v>
      </c>
      <c r="C193" s="428">
        <v>14758.92</v>
      </c>
      <c r="D193" s="74">
        <v>14065.88</v>
      </c>
      <c r="E193" s="74"/>
      <c r="F193" s="74">
        <f t="shared" si="114"/>
        <v>45299.81000000001</v>
      </c>
      <c r="G193" s="258">
        <f t="shared" si="111"/>
        <v>3339</v>
      </c>
      <c r="H193" s="602">
        <v>185.5</v>
      </c>
      <c r="I193" s="1030">
        <v>0</v>
      </c>
      <c r="J193" s="285">
        <f t="shared" si="115"/>
        <v>3524.5</v>
      </c>
      <c r="K193" s="302">
        <f t="shared" si="112"/>
        <v>2234.0700000000024</v>
      </c>
      <c r="L193" s="1040">
        <v>372.59</v>
      </c>
      <c r="M193" s="1031"/>
      <c r="N193" s="108">
        <f t="shared" si="116"/>
        <v>2606.6600000000026</v>
      </c>
      <c r="O193" s="301">
        <f t="shared" si="113"/>
        <v>-84.25999999999999</v>
      </c>
      <c r="P193" s="301">
        <v>57.5</v>
      </c>
      <c r="Q193" s="263"/>
      <c r="R193" s="301">
        <v>57.5</v>
      </c>
      <c r="S193" s="301">
        <f t="shared" si="117"/>
        <v>-84.25999999999999</v>
      </c>
      <c r="T193" s="252">
        <f t="shared" si="118"/>
        <v>57.5</v>
      </c>
      <c r="U193" s="252">
        <f t="shared" si="119"/>
        <v>0</v>
      </c>
      <c r="V193" s="252">
        <f t="shared" si="120"/>
        <v>0</v>
      </c>
      <c r="W193" s="253">
        <f t="shared" si="121"/>
        <v>57.5</v>
      </c>
      <c r="X193" s="249">
        <f t="shared" si="122"/>
        <v>68.76</v>
      </c>
      <c r="Y193" s="250">
        <f t="shared" si="123"/>
        <v>1117.77</v>
      </c>
      <c r="Z193" s="250">
        <f t="shared" si="124"/>
        <v>0</v>
      </c>
      <c r="AA193" s="622">
        <f t="shared" si="125"/>
        <v>1186.53</v>
      </c>
      <c r="AB193" s="620">
        <f t="shared" si="126"/>
        <v>1117.77</v>
      </c>
      <c r="AC193" s="270">
        <f t="shared" si="127"/>
        <v>15374.51</v>
      </c>
      <c r="AD193" s="444">
        <f t="shared" si="128"/>
        <v>14123.38</v>
      </c>
      <c r="AE193" s="512">
        <f t="shared" si="129"/>
        <v>14123.38</v>
      </c>
    </row>
    <row r="194" spans="1:31" ht="18.75">
      <c r="A194" s="73" t="s">
        <v>15</v>
      </c>
      <c r="B194" s="74">
        <f t="shared" si="110"/>
        <v>108860.94000000032</v>
      </c>
      <c r="C194" s="428">
        <v>34705.99</v>
      </c>
      <c r="D194" s="74">
        <v>38456.14</v>
      </c>
      <c r="E194" s="74"/>
      <c r="F194" s="74">
        <f t="shared" si="114"/>
        <v>105110.79000000031</v>
      </c>
      <c r="G194" s="258">
        <f t="shared" si="111"/>
        <v>0</v>
      </c>
      <c r="H194" s="602"/>
      <c r="I194" s="1030">
        <v>0</v>
      </c>
      <c r="J194" s="285">
        <f t="shared" si="115"/>
        <v>0</v>
      </c>
      <c r="K194" s="302">
        <f t="shared" si="112"/>
        <v>-1788.22</v>
      </c>
      <c r="L194" s="1040">
        <v>354.57</v>
      </c>
      <c r="M194" s="1031">
        <v>1063.71</v>
      </c>
      <c r="N194" s="108">
        <f t="shared" si="116"/>
        <v>-2497.36</v>
      </c>
      <c r="O194" s="301">
        <f t="shared" si="113"/>
        <v>478.4899999999998</v>
      </c>
      <c r="P194" s="301">
        <v>109.64</v>
      </c>
      <c r="Q194" s="263"/>
      <c r="R194" s="634">
        <v>80.34</v>
      </c>
      <c r="S194" s="301">
        <f t="shared" si="117"/>
        <v>507.78999999999974</v>
      </c>
      <c r="T194" s="252">
        <f t="shared" si="118"/>
        <v>80.34</v>
      </c>
      <c r="U194" s="252">
        <f t="shared" si="119"/>
        <v>1063.71</v>
      </c>
      <c r="V194" s="252">
        <f t="shared" si="120"/>
        <v>0</v>
      </c>
      <c r="W194" s="253">
        <f t="shared" si="121"/>
        <v>1144.05</v>
      </c>
      <c r="X194" s="249">
        <f t="shared" si="122"/>
        <v>263.18</v>
      </c>
      <c r="Y194" s="250">
        <f t="shared" si="123"/>
        <v>1063.71</v>
      </c>
      <c r="Z194" s="250">
        <f t="shared" si="124"/>
        <v>0</v>
      </c>
      <c r="AA194" s="622">
        <f t="shared" si="125"/>
        <v>1326.89</v>
      </c>
      <c r="AB194" s="620">
        <f t="shared" si="126"/>
        <v>1063.71</v>
      </c>
      <c r="AC194" s="270">
        <f t="shared" si="127"/>
        <v>35170.2</v>
      </c>
      <c r="AD194" s="444">
        <f t="shared" si="128"/>
        <v>39600.189999999995</v>
      </c>
      <c r="AE194" s="512">
        <f t="shared" si="129"/>
        <v>38536.479999999996</v>
      </c>
    </row>
    <row r="195" spans="1:31" ht="18.75">
      <c r="A195" s="73" t="s">
        <v>16</v>
      </c>
      <c r="B195" s="74">
        <f t="shared" si="110"/>
        <v>33686.89000000007</v>
      </c>
      <c r="C195" s="428">
        <v>28244.23</v>
      </c>
      <c r="D195" s="74">
        <v>31662.07</v>
      </c>
      <c r="E195" s="74"/>
      <c r="F195" s="74">
        <f t="shared" si="114"/>
        <v>30269.05000000007</v>
      </c>
      <c r="G195" s="258">
        <f t="shared" si="111"/>
        <v>0</v>
      </c>
      <c r="H195" s="602"/>
      <c r="I195" s="1030">
        <v>0</v>
      </c>
      <c r="J195" s="285">
        <f t="shared" si="115"/>
        <v>0</v>
      </c>
      <c r="K195" s="302">
        <f t="shared" si="112"/>
        <v>1745.820000000002</v>
      </c>
      <c r="L195" s="1040">
        <v>290.97</v>
      </c>
      <c r="M195" s="1031"/>
      <c r="N195" s="108">
        <f t="shared" si="116"/>
        <v>2036.790000000002</v>
      </c>
      <c r="O195" s="301">
        <f t="shared" si="113"/>
        <v>82.49999999999999</v>
      </c>
      <c r="P195" s="301">
        <v>237.65</v>
      </c>
      <c r="Q195" s="263"/>
      <c r="R195" s="634">
        <v>237.26</v>
      </c>
      <c r="S195" s="301">
        <f t="shared" si="117"/>
        <v>82.88999999999999</v>
      </c>
      <c r="T195" s="252">
        <f t="shared" si="118"/>
        <v>237.26</v>
      </c>
      <c r="U195" s="252">
        <f t="shared" si="119"/>
        <v>0</v>
      </c>
      <c r="V195" s="252">
        <f t="shared" si="120"/>
        <v>0</v>
      </c>
      <c r="W195" s="253">
        <f t="shared" si="121"/>
        <v>237.26</v>
      </c>
      <c r="X195" s="249">
        <f t="shared" si="122"/>
        <v>261.81</v>
      </c>
      <c r="Y195" s="250">
        <f t="shared" si="123"/>
        <v>0</v>
      </c>
      <c r="Z195" s="250">
        <f t="shared" si="124"/>
        <v>0</v>
      </c>
      <c r="AA195" s="622">
        <f t="shared" si="125"/>
        <v>261.81</v>
      </c>
      <c r="AB195" s="620">
        <f t="shared" si="126"/>
        <v>0</v>
      </c>
      <c r="AC195" s="270">
        <f t="shared" si="127"/>
        <v>28772.850000000002</v>
      </c>
      <c r="AD195" s="444">
        <f t="shared" si="128"/>
        <v>31899.329999999998</v>
      </c>
      <c r="AE195" s="512">
        <f t="shared" si="129"/>
        <v>31899.329999999998</v>
      </c>
    </row>
    <row r="196" spans="1:31" ht="18.75">
      <c r="A196" s="73" t="s">
        <v>17</v>
      </c>
      <c r="B196" s="74">
        <f t="shared" si="110"/>
        <v>52582.94000000028</v>
      </c>
      <c r="C196" s="428">
        <v>36774.58</v>
      </c>
      <c r="D196" s="74">
        <v>39427.11</v>
      </c>
      <c r="E196" s="74"/>
      <c r="F196" s="74">
        <f t="shared" si="114"/>
        <v>49930.41000000028</v>
      </c>
      <c r="G196" s="258">
        <f t="shared" si="111"/>
        <v>6630.300000000003</v>
      </c>
      <c r="H196" s="602">
        <v>368.35</v>
      </c>
      <c r="I196" s="1030">
        <v>0</v>
      </c>
      <c r="J196" s="285">
        <f t="shared" si="115"/>
        <v>6998.650000000003</v>
      </c>
      <c r="K196" s="302">
        <f t="shared" si="112"/>
        <v>619.5699999999998</v>
      </c>
      <c r="L196" s="1040">
        <v>619.57</v>
      </c>
      <c r="M196" s="1031"/>
      <c r="N196" s="108">
        <f t="shared" si="116"/>
        <v>1239.1399999999999</v>
      </c>
      <c r="O196" s="301">
        <f t="shared" si="113"/>
        <v>96.58000000000004</v>
      </c>
      <c r="P196" s="301">
        <v>30.01</v>
      </c>
      <c r="Q196" s="263"/>
      <c r="R196" s="634">
        <v>16.48</v>
      </c>
      <c r="S196" s="301">
        <f t="shared" si="117"/>
        <v>110.11000000000004</v>
      </c>
      <c r="T196" s="252">
        <v>16.48</v>
      </c>
      <c r="U196" s="252">
        <f t="shared" si="119"/>
        <v>0</v>
      </c>
      <c r="V196" s="252">
        <f t="shared" si="120"/>
        <v>0</v>
      </c>
      <c r="W196" s="253">
        <f t="shared" si="121"/>
        <v>16.48</v>
      </c>
      <c r="X196" s="249">
        <f t="shared" si="122"/>
        <v>45.94</v>
      </c>
      <c r="Y196" s="250">
        <f t="shared" si="123"/>
        <v>1239.14</v>
      </c>
      <c r="Z196" s="250">
        <f t="shared" si="124"/>
        <v>0</v>
      </c>
      <c r="AA196" s="622">
        <f t="shared" si="125"/>
        <v>1285.0800000000002</v>
      </c>
      <c r="AB196" s="620">
        <f t="shared" si="126"/>
        <v>1239.14</v>
      </c>
      <c r="AC196" s="270">
        <f t="shared" si="127"/>
        <v>37792.51</v>
      </c>
      <c r="AD196" s="444">
        <f t="shared" si="128"/>
        <v>39443.590000000004</v>
      </c>
      <c r="AE196" s="512">
        <f t="shared" si="129"/>
        <v>39443.590000000004</v>
      </c>
    </row>
    <row r="197" spans="1:31" ht="18.75">
      <c r="A197" s="73" t="s">
        <v>18</v>
      </c>
      <c r="B197" s="74">
        <f t="shared" si="110"/>
        <v>148640.20000000007</v>
      </c>
      <c r="C197" s="428">
        <v>78555.01</v>
      </c>
      <c r="D197" s="74">
        <v>77476.62</v>
      </c>
      <c r="E197" s="74"/>
      <c r="F197" s="74">
        <f t="shared" si="114"/>
        <v>149718.59000000008</v>
      </c>
      <c r="G197" s="258">
        <f t="shared" si="111"/>
        <v>840.0499999999986</v>
      </c>
      <c r="H197" s="602"/>
      <c r="I197" s="1030">
        <v>0</v>
      </c>
      <c r="J197" s="285">
        <f t="shared" si="115"/>
        <v>840.0499999999986</v>
      </c>
      <c r="K197" s="302">
        <f t="shared" si="112"/>
        <v>182.8499999999999</v>
      </c>
      <c r="L197" s="1040">
        <v>2216.46</v>
      </c>
      <c r="M197" s="1031">
        <v>2714.66</v>
      </c>
      <c r="N197" s="108">
        <f t="shared" si="116"/>
        <v>-315.3499999999999</v>
      </c>
      <c r="O197" s="301">
        <f t="shared" si="113"/>
        <v>348.98000000000013</v>
      </c>
      <c r="P197" s="301">
        <v>173.87</v>
      </c>
      <c r="Q197" s="263"/>
      <c r="R197" s="634">
        <v>358.27</v>
      </c>
      <c r="S197" s="301">
        <f t="shared" si="117"/>
        <v>164.58000000000015</v>
      </c>
      <c r="T197" s="252">
        <f t="shared" si="118"/>
        <v>358.27</v>
      </c>
      <c r="U197" s="252">
        <f t="shared" si="119"/>
        <v>2714.66</v>
      </c>
      <c r="V197" s="252">
        <f t="shared" si="120"/>
        <v>0</v>
      </c>
      <c r="W197" s="253">
        <f t="shared" si="121"/>
        <v>3072.93</v>
      </c>
      <c r="X197" s="249">
        <f t="shared" si="122"/>
        <v>452.59</v>
      </c>
      <c r="Y197" s="250">
        <f t="shared" si="123"/>
        <v>9315.81</v>
      </c>
      <c r="Z197" s="250">
        <f t="shared" si="124"/>
        <v>0</v>
      </c>
      <c r="AA197" s="622">
        <f t="shared" si="125"/>
        <v>9768.4</v>
      </c>
      <c r="AB197" s="620">
        <f t="shared" si="126"/>
        <v>9315.81</v>
      </c>
      <c r="AC197" s="270">
        <f t="shared" si="127"/>
        <v>80945.34</v>
      </c>
      <c r="AD197" s="444">
        <f t="shared" si="128"/>
        <v>80549.55</v>
      </c>
      <c r="AE197" s="512">
        <f t="shared" si="129"/>
        <v>77834.89</v>
      </c>
    </row>
    <row r="198" spans="1:31" ht="18.75">
      <c r="A198" s="73" t="s">
        <v>54</v>
      </c>
      <c r="B198" s="74">
        <f t="shared" si="110"/>
        <v>67610.91000000032</v>
      </c>
      <c r="C198" s="428">
        <v>33618.28</v>
      </c>
      <c r="D198" s="74">
        <v>35694.14</v>
      </c>
      <c r="E198" s="74"/>
      <c r="F198" s="74">
        <f t="shared" si="114"/>
        <v>65535.05000000032</v>
      </c>
      <c r="G198" s="258">
        <f t="shared" si="111"/>
        <v>5614.700000000002</v>
      </c>
      <c r="H198" s="602">
        <v>261.82</v>
      </c>
      <c r="I198" s="1030">
        <v>0</v>
      </c>
      <c r="J198" s="285">
        <f t="shared" si="115"/>
        <v>5876.520000000001</v>
      </c>
      <c r="K198" s="302">
        <f t="shared" si="112"/>
        <v>0</v>
      </c>
      <c r="L198" s="1040"/>
      <c r="M198" s="1031"/>
      <c r="N198" s="108">
        <f t="shared" si="116"/>
        <v>0</v>
      </c>
      <c r="O198" s="301">
        <f t="shared" si="113"/>
        <v>-1103.9099999999999</v>
      </c>
      <c r="P198" s="301">
        <v>185.95</v>
      </c>
      <c r="Q198" s="263"/>
      <c r="R198" s="634">
        <f>90.86+20.26</f>
        <v>111.12</v>
      </c>
      <c r="S198" s="301">
        <f t="shared" si="117"/>
        <v>-1029.08</v>
      </c>
      <c r="T198" s="252">
        <f t="shared" si="118"/>
        <v>111.12</v>
      </c>
      <c r="U198" s="252">
        <f t="shared" si="119"/>
        <v>0</v>
      </c>
      <c r="V198" s="252">
        <f t="shared" si="120"/>
        <v>0</v>
      </c>
      <c r="W198" s="253">
        <f t="shared" si="121"/>
        <v>111.12</v>
      </c>
      <c r="X198" s="249">
        <f t="shared" si="122"/>
        <v>316.4</v>
      </c>
      <c r="Y198" s="250">
        <f t="shared" si="123"/>
        <v>0</v>
      </c>
      <c r="Z198" s="250">
        <f t="shared" si="124"/>
        <v>0</v>
      </c>
      <c r="AA198" s="622">
        <f t="shared" si="125"/>
        <v>316.4</v>
      </c>
      <c r="AB198" s="620">
        <f t="shared" si="126"/>
        <v>0</v>
      </c>
      <c r="AC198" s="270">
        <f t="shared" si="127"/>
        <v>34066.049999999996</v>
      </c>
      <c r="AD198" s="444">
        <f t="shared" si="128"/>
        <v>35805.26</v>
      </c>
      <c r="AE198" s="512">
        <f t="shared" si="129"/>
        <v>35805.26</v>
      </c>
    </row>
    <row r="199" spans="1:31" ht="18.75">
      <c r="A199" s="73" t="s">
        <v>49</v>
      </c>
      <c r="B199" s="74">
        <f t="shared" si="110"/>
        <v>192178.62000000023</v>
      </c>
      <c r="C199" s="428">
        <v>71492.24</v>
      </c>
      <c r="D199" s="74">
        <v>67177.5</v>
      </c>
      <c r="E199" s="74"/>
      <c r="F199" s="74">
        <f t="shared" si="114"/>
        <v>196493.36000000022</v>
      </c>
      <c r="G199" s="258">
        <f t="shared" si="111"/>
        <v>14710.680000000002</v>
      </c>
      <c r="H199" s="602">
        <v>817.26</v>
      </c>
      <c r="I199" s="1030">
        <v>0</v>
      </c>
      <c r="J199" s="285">
        <f t="shared" si="115"/>
        <v>15527.940000000002</v>
      </c>
      <c r="K199" s="302">
        <f t="shared" si="112"/>
        <v>3759.4000000000033</v>
      </c>
      <c r="L199" s="1040">
        <f>3556.3</f>
        <v>3556.3</v>
      </c>
      <c r="M199" s="1031">
        <v>5847.49</v>
      </c>
      <c r="N199" s="108">
        <f t="shared" si="116"/>
        <v>1468.2100000000037</v>
      </c>
      <c r="O199" s="301">
        <f t="shared" si="113"/>
        <v>-1046.4800000000002</v>
      </c>
      <c r="P199" s="301">
        <v>26.93</v>
      </c>
      <c r="Q199" s="263"/>
      <c r="R199" s="634">
        <v>17.42</v>
      </c>
      <c r="S199" s="301">
        <f t="shared" si="117"/>
        <v>-1036.9700000000003</v>
      </c>
      <c r="T199" s="252">
        <f t="shared" si="118"/>
        <v>17.42</v>
      </c>
      <c r="U199" s="252">
        <f t="shared" si="119"/>
        <v>5847.49</v>
      </c>
      <c r="V199" s="252">
        <f t="shared" si="120"/>
        <v>0</v>
      </c>
      <c r="W199" s="253">
        <f t="shared" si="121"/>
        <v>5864.91</v>
      </c>
      <c r="X199" s="249">
        <f t="shared" si="122"/>
        <v>240.32999999999998</v>
      </c>
      <c r="Y199" s="250">
        <f t="shared" si="123"/>
        <v>10808.29</v>
      </c>
      <c r="Z199" s="250">
        <f t="shared" si="124"/>
        <v>0</v>
      </c>
      <c r="AA199" s="622">
        <f t="shared" si="125"/>
        <v>11048.62</v>
      </c>
      <c r="AB199" s="620">
        <f t="shared" si="126"/>
        <v>10808.29</v>
      </c>
      <c r="AC199" s="270">
        <f t="shared" si="127"/>
        <v>75892.73</v>
      </c>
      <c r="AD199" s="444">
        <f t="shared" si="128"/>
        <v>73042.41</v>
      </c>
      <c r="AE199" s="512">
        <f t="shared" si="129"/>
        <v>67194.92</v>
      </c>
    </row>
    <row r="200" spans="1:31" ht="18.75">
      <c r="A200" s="73" t="s">
        <v>19</v>
      </c>
      <c r="B200" s="74">
        <f t="shared" si="110"/>
        <v>84775.42999999998</v>
      </c>
      <c r="C200" s="428">
        <v>52752.49</v>
      </c>
      <c r="D200" s="74">
        <v>51313.93</v>
      </c>
      <c r="E200" s="74"/>
      <c r="F200" s="74">
        <f t="shared" si="114"/>
        <v>86213.98999999999</v>
      </c>
      <c r="G200" s="258">
        <f t="shared" si="111"/>
        <v>6825.989999999996</v>
      </c>
      <c r="H200" s="602">
        <v>356.69</v>
      </c>
      <c r="I200" s="1030">
        <v>0</v>
      </c>
      <c r="J200" s="285">
        <f t="shared" si="115"/>
        <v>7182.679999999996</v>
      </c>
      <c r="K200" s="302">
        <f t="shared" si="112"/>
        <v>909.0700000000004</v>
      </c>
      <c r="L200" s="1040">
        <v>1041.98</v>
      </c>
      <c r="M200" s="1031">
        <v>738.82</v>
      </c>
      <c r="N200" s="108">
        <f t="shared" si="116"/>
        <v>1212.2300000000005</v>
      </c>
      <c r="O200" s="301">
        <f t="shared" si="113"/>
        <v>1299.6900000000005</v>
      </c>
      <c r="P200" s="301">
        <v>166.75</v>
      </c>
      <c r="Q200" s="263"/>
      <c r="R200" s="634">
        <v>556.4</v>
      </c>
      <c r="S200" s="301">
        <f t="shared" si="117"/>
        <v>910.0400000000005</v>
      </c>
      <c r="T200" s="252">
        <f t="shared" si="118"/>
        <v>556.4</v>
      </c>
      <c r="U200" s="252">
        <f t="shared" si="119"/>
        <v>738.82</v>
      </c>
      <c r="V200" s="252">
        <f t="shared" si="120"/>
        <v>0</v>
      </c>
      <c r="W200" s="253">
        <f t="shared" si="121"/>
        <v>1295.22</v>
      </c>
      <c r="X200" s="249">
        <f t="shared" si="122"/>
        <v>1102.1599999999999</v>
      </c>
      <c r="Y200" s="250">
        <f t="shared" si="123"/>
        <v>2759.71</v>
      </c>
      <c r="Z200" s="250">
        <f t="shared" si="124"/>
        <v>0</v>
      </c>
      <c r="AA200" s="622">
        <f t="shared" si="125"/>
        <v>3861.87</v>
      </c>
      <c r="AB200" s="620">
        <f t="shared" si="126"/>
        <v>2759.71</v>
      </c>
      <c r="AC200" s="270">
        <f t="shared" si="127"/>
        <v>54317.91</v>
      </c>
      <c r="AD200" s="444">
        <f t="shared" si="128"/>
        <v>52609.15</v>
      </c>
      <c r="AE200" s="512">
        <f t="shared" si="129"/>
        <v>51870.33</v>
      </c>
    </row>
    <row r="201" spans="1:31" ht="18.75">
      <c r="A201" s="80" t="s">
        <v>20</v>
      </c>
      <c r="B201" s="74">
        <f t="shared" si="110"/>
        <v>59249.970000000074</v>
      </c>
      <c r="C201" s="450">
        <v>34274.05</v>
      </c>
      <c r="D201" s="131">
        <v>31037.8</v>
      </c>
      <c r="E201" s="131"/>
      <c r="F201" s="74">
        <f t="shared" si="114"/>
        <v>62486.220000000074</v>
      </c>
      <c r="G201" s="258">
        <f t="shared" si="111"/>
        <v>0</v>
      </c>
      <c r="H201" s="603"/>
      <c r="I201" s="1030">
        <v>0</v>
      </c>
      <c r="J201" s="285">
        <f t="shared" si="115"/>
        <v>0</v>
      </c>
      <c r="K201" s="302">
        <f t="shared" si="112"/>
        <v>5833.87</v>
      </c>
      <c r="L201" s="1041">
        <v>689</v>
      </c>
      <c r="M201" s="914">
        <v>3160.3</v>
      </c>
      <c r="N201" s="108">
        <f t="shared" si="116"/>
        <v>3362.5699999999997</v>
      </c>
      <c r="O201" s="301">
        <f t="shared" si="113"/>
        <v>115.45999999999994</v>
      </c>
      <c r="P201" s="480">
        <v>7.93</v>
      </c>
      <c r="Q201" s="264"/>
      <c r="R201" s="633">
        <v>9.9</v>
      </c>
      <c r="S201" s="301">
        <f t="shared" si="117"/>
        <v>113.48999999999992</v>
      </c>
      <c r="T201" s="411">
        <f t="shared" si="118"/>
        <v>9.9</v>
      </c>
      <c r="U201" s="411">
        <f t="shared" si="119"/>
        <v>3160.3</v>
      </c>
      <c r="V201" s="411">
        <f t="shared" si="120"/>
        <v>0</v>
      </c>
      <c r="W201" s="413">
        <f t="shared" si="121"/>
        <v>3170.2000000000003</v>
      </c>
      <c r="X201" s="249">
        <f t="shared" si="122"/>
        <v>15.99</v>
      </c>
      <c r="Y201" s="250">
        <f t="shared" si="123"/>
        <v>3160.3</v>
      </c>
      <c r="Z201" s="247">
        <f t="shared" si="124"/>
        <v>0</v>
      </c>
      <c r="AA201" s="622">
        <f t="shared" si="125"/>
        <v>3176.29</v>
      </c>
      <c r="AB201" s="620">
        <f t="shared" si="126"/>
        <v>3160.3</v>
      </c>
      <c r="AC201" s="270">
        <f t="shared" si="127"/>
        <v>34970.98</v>
      </c>
      <c r="AD201" s="444">
        <f t="shared" si="128"/>
        <v>34208</v>
      </c>
      <c r="AE201" s="512">
        <f t="shared" si="129"/>
        <v>31047.7</v>
      </c>
    </row>
    <row r="202" spans="1:31" ht="18.75">
      <c r="A202" s="80" t="s">
        <v>114</v>
      </c>
      <c r="B202" s="74">
        <f t="shared" si="110"/>
        <v>-429689.3200000004</v>
      </c>
      <c r="C202" s="450">
        <v>41832.81</v>
      </c>
      <c r="D202" s="131">
        <v>50383.52</v>
      </c>
      <c r="E202" s="131"/>
      <c r="F202" s="74">
        <f t="shared" si="114"/>
        <v>-438240.03000000044</v>
      </c>
      <c r="G202" s="258">
        <f t="shared" si="111"/>
        <v>1343.55</v>
      </c>
      <c r="H202" s="600">
        <v>268.71</v>
      </c>
      <c r="I202" s="1030">
        <v>0</v>
      </c>
      <c r="J202" s="285">
        <f t="shared" si="115"/>
        <v>1612.26</v>
      </c>
      <c r="K202" s="302">
        <f t="shared" si="112"/>
        <v>721.5299999999997</v>
      </c>
      <c r="L202" s="1042">
        <v>1421.46</v>
      </c>
      <c r="M202" s="1031">
        <v>721.33</v>
      </c>
      <c r="N202" s="108">
        <f t="shared" si="116"/>
        <v>1421.6599999999999</v>
      </c>
      <c r="O202" s="301">
        <f t="shared" si="113"/>
        <v>43.17999999999999</v>
      </c>
      <c r="P202" s="480">
        <v>142.78</v>
      </c>
      <c r="Q202" s="264"/>
      <c r="R202" s="633">
        <v>139</v>
      </c>
      <c r="S202" s="301">
        <f t="shared" si="117"/>
        <v>46.95999999999998</v>
      </c>
      <c r="T202" s="411">
        <f t="shared" si="118"/>
        <v>139</v>
      </c>
      <c r="U202" s="411">
        <f t="shared" si="119"/>
        <v>721.33</v>
      </c>
      <c r="V202" s="411">
        <f t="shared" si="120"/>
        <v>0</v>
      </c>
      <c r="W202" s="413">
        <f t="shared" si="121"/>
        <v>860.33</v>
      </c>
      <c r="X202" s="249">
        <f t="shared" si="122"/>
        <v>203.45</v>
      </c>
      <c r="Y202" s="250">
        <f t="shared" si="123"/>
        <v>4264.38</v>
      </c>
      <c r="Z202" s="247">
        <f t="shared" si="124"/>
        <v>0</v>
      </c>
      <c r="AA202" s="622">
        <f t="shared" si="125"/>
        <v>4467.83</v>
      </c>
      <c r="AB202" s="620">
        <f t="shared" si="126"/>
        <v>4264.38</v>
      </c>
      <c r="AC202" s="270">
        <f t="shared" si="127"/>
        <v>43665.759999999995</v>
      </c>
      <c r="AD202" s="444">
        <f t="shared" si="128"/>
        <v>51243.85</v>
      </c>
      <c r="AE202" s="512">
        <f t="shared" si="129"/>
        <v>50522.52</v>
      </c>
    </row>
    <row r="203" spans="1:31" ht="18.75">
      <c r="A203" s="80" t="s">
        <v>124</v>
      </c>
      <c r="B203" s="74">
        <f t="shared" si="110"/>
        <v>115280.17000000009</v>
      </c>
      <c r="C203" s="450">
        <v>14903.07</v>
      </c>
      <c r="D203" s="131">
        <v>16327.72</v>
      </c>
      <c r="E203" s="131"/>
      <c r="F203" s="74">
        <f t="shared" si="114"/>
        <v>113855.52000000008</v>
      </c>
      <c r="G203" s="258">
        <f t="shared" si="111"/>
        <v>0</v>
      </c>
      <c r="H203" s="604"/>
      <c r="I203" s="1030">
        <v>0</v>
      </c>
      <c r="J203" s="285">
        <f t="shared" si="115"/>
        <v>0</v>
      </c>
      <c r="K203" s="302">
        <f t="shared" si="112"/>
        <v>0</v>
      </c>
      <c r="L203" s="1043"/>
      <c r="M203" s="1032"/>
      <c r="N203" s="108">
        <f t="shared" si="116"/>
        <v>0</v>
      </c>
      <c r="O203" s="301">
        <f t="shared" si="113"/>
        <v>28.1</v>
      </c>
      <c r="P203" s="480">
        <v>23.05</v>
      </c>
      <c r="Q203" s="264"/>
      <c r="R203" s="633">
        <v>9.47</v>
      </c>
      <c r="S203" s="301">
        <f t="shared" si="117"/>
        <v>41.68000000000001</v>
      </c>
      <c r="T203" s="411">
        <f t="shared" si="118"/>
        <v>9.47</v>
      </c>
      <c r="U203" s="411">
        <f t="shared" si="119"/>
        <v>0</v>
      </c>
      <c r="V203" s="411">
        <f t="shared" si="120"/>
        <v>0</v>
      </c>
      <c r="W203" s="413">
        <f t="shared" si="121"/>
        <v>9.47</v>
      </c>
      <c r="X203" s="249">
        <f t="shared" si="122"/>
        <v>32.51</v>
      </c>
      <c r="Y203" s="250">
        <f t="shared" si="123"/>
        <v>0</v>
      </c>
      <c r="Z203" s="247">
        <f t="shared" si="124"/>
        <v>0</v>
      </c>
      <c r="AA203" s="622">
        <f t="shared" si="125"/>
        <v>32.51</v>
      </c>
      <c r="AB203" s="620">
        <f t="shared" si="126"/>
        <v>0</v>
      </c>
      <c r="AC203" s="270">
        <f t="shared" si="127"/>
        <v>14926.119999999999</v>
      </c>
      <c r="AD203" s="444">
        <f t="shared" si="128"/>
        <v>16337.189999999999</v>
      </c>
      <c r="AE203" s="512">
        <f t="shared" si="129"/>
        <v>16337.189999999999</v>
      </c>
    </row>
    <row r="204" spans="1:31" ht="18.75">
      <c r="A204" s="708" t="s">
        <v>188</v>
      </c>
      <c r="B204" s="74">
        <f t="shared" si="110"/>
        <v>19196.899999999936</v>
      </c>
      <c r="C204" s="702">
        <v>39551.25</v>
      </c>
      <c r="D204" s="702">
        <v>41847.37</v>
      </c>
      <c r="E204" s="450"/>
      <c r="F204" s="74">
        <f t="shared" si="114"/>
        <v>16900.779999999933</v>
      </c>
      <c r="G204" s="258">
        <f t="shared" si="111"/>
        <v>4067.2200000000003</v>
      </c>
      <c r="H204" s="604">
        <v>338.67</v>
      </c>
      <c r="I204" s="1030">
        <v>0</v>
      </c>
      <c r="J204" s="285">
        <f t="shared" si="115"/>
        <v>4405.89</v>
      </c>
      <c r="K204" s="302">
        <f t="shared" si="112"/>
        <v>-12856.109999999997</v>
      </c>
      <c r="L204" s="1043">
        <f>666.74+435.13+359.87</f>
        <v>1461.7399999999998</v>
      </c>
      <c r="M204" s="914">
        <v>435.13</v>
      </c>
      <c r="N204" s="108">
        <f t="shared" si="116"/>
        <v>-11829.499999999996</v>
      </c>
      <c r="O204" s="301">
        <f t="shared" si="113"/>
        <v>-16549.480000000003</v>
      </c>
      <c r="P204" s="633">
        <v>90.09</v>
      </c>
      <c r="Q204" s="480"/>
      <c r="R204" s="633">
        <v>88.94</v>
      </c>
      <c r="S204" s="301">
        <f t="shared" si="117"/>
        <v>-16548.33</v>
      </c>
      <c r="T204" s="411">
        <f t="shared" si="118"/>
        <v>88.94</v>
      </c>
      <c r="U204" s="411">
        <f t="shared" si="119"/>
        <v>435.13</v>
      </c>
      <c r="V204" s="411">
        <f t="shared" si="120"/>
        <v>0</v>
      </c>
      <c r="W204" s="413">
        <f t="shared" si="121"/>
        <v>524.0699999999999</v>
      </c>
      <c r="X204" s="249">
        <f t="shared" si="122"/>
        <v>1278.47</v>
      </c>
      <c r="Y204" s="250">
        <f t="shared" si="123"/>
        <v>5305.39</v>
      </c>
      <c r="Z204" s="247">
        <f t="shared" si="124"/>
        <v>0</v>
      </c>
      <c r="AA204" s="622">
        <f t="shared" si="125"/>
        <v>6583.860000000001</v>
      </c>
      <c r="AB204" s="620">
        <f t="shared" si="126"/>
        <v>5305.39</v>
      </c>
      <c r="AC204" s="270">
        <f t="shared" si="127"/>
        <v>41441.74999999999</v>
      </c>
      <c r="AD204" s="444">
        <f t="shared" si="128"/>
        <v>42371.44</v>
      </c>
      <c r="AE204" s="512">
        <f t="shared" si="129"/>
        <v>41936.310000000005</v>
      </c>
    </row>
    <row r="205" spans="1:31" ht="18.75">
      <c r="A205" s="708" t="s">
        <v>189</v>
      </c>
      <c r="B205" s="74">
        <f t="shared" si="110"/>
        <v>123357.28999999996</v>
      </c>
      <c r="C205" s="702">
        <v>45631.94</v>
      </c>
      <c r="D205" s="702">
        <v>65851.93</v>
      </c>
      <c r="E205" s="450"/>
      <c r="F205" s="74">
        <f t="shared" si="114"/>
        <v>103137.29999999999</v>
      </c>
      <c r="G205" s="258">
        <f t="shared" si="111"/>
        <v>17043.739999999998</v>
      </c>
      <c r="H205" s="604">
        <v>2162.4</v>
      </c>
      <c r="I205" s="1030">
        <v>0</v>
      </c>
      <c r="J205" s="285">
        <f t="shared" si="115"/>
        <v>19206.14</v>
      </c>
      <c r="K205" s="302">
        <f t="shared" si="112"/>
        <v>-14424.829999999996</v>
      </c>
      <c r="L205" s="1043">
        <v>2796.81</v>
      </c>
      <c r="M205" s="914">
        <v>5326.49</v>
      </c>
      <c r="N205" s="108">
        <f t="shared" si="116"/>
        <v>-16954.509999999995</v>
      </c>
      <c r="O205" s="301">
        <f t="shared" si="113"/>
        <v>-65249.21999999999</v>
      </c>
      <c r="P205" s="633">
        <v>123.99</v>
      </c>
      <c r="Q205" s="480"/>
      <c r="R205" s="633">
        <f>265.79+3915.3</f>
        <v>4181.09</v>
      </c>
      <c r="S205" s="301">
        <f t="shared" si="117"/>
        <v>-69306.31999999999</v>
      </c>
      <c r="T205" s="411">
        <f t="shared" si="118"/>
        <v>4181.09</v>
      </c>
      <c r="U205" s="411">
        <f t="shared" si="119"/>
        <v>5326.49</v>
      </c>
      <c r="V205" s="411">
        <f t="shared" si="120"/>
        <v>0</v>
      </c>
      <c r="W205" s="413">
        <f t="shared" si="121"/>
        <v>9507.58</v>
      </c>
      <c r="X205" s="249">
        <f t="shared" si="122"/>
        <v>11640.64</v>
      </c>
      <c r="Y205" s="250">
        <f t="shared" si="123"/>
        <v>5326.49</v>
      </c>
      <c r="Z205" s="247">
        <f t="shared" si="124"/>
        <v>0</v>
      </c>
      <c r="AA205" s="622">
        <f t="shared" si="125"/>
        <v>16967.129999999997</v>
      </c>
      <c r="AB205" s="620">
        <f t="shared" si="126"/>
        <v>5326.49</v>
      </c>
      <c r="AC205" s="270">
        <f t="shared" si="127"/>
        <v>50715.14</v>
      </c>
      <c r="AD205" s="444">
        <f t="shared" si="128"/>
        <v>75359.51</v>
      </c>
      <c r="AE205" s="512">
        <f t="shared" si="129"/>
        <v>70033.01999999999</v>
      </c>
    </row>
    <row r="206" spans="1:31" ht="18.75">
      <c r="A206" s="708" t="s">
        <v>251</v>
      </c>
      <c r="B206" s="74">
        <f t="shared" si="110"/>
        <v>118575.17</v>
      </c>
      <c r="C206" s="702">
        <v>42325.8</v>
      </c>
      <c r="D206" s="702">
        <v>47594.7</v>
      </c>
      <c r="E206" s="450"/>
      <c r="F206" s="74">
        <f t="shared" si="114"/>
        <v>113306.27</v>
      </c>
      <c r="G206" s="258">
        <f t="shared" si="111"/>
        <v>0</v>
      </c>
      <c r="H206" s="604"/>
      <c r="I206" s="1030">
        <v>0</v>
      </c>
      <c r="J206" s="285">
        <f t="shared" si="115"/>
        <v>0</v>
      </c>
      <c r="K206" s="302">
        <f t="shared" si="112"/>
        <v>-62945.81</v>
      </c>
      <c r="L206" s="1043">
        <v>642.36</v>
      </c>
      <c r="M206" s="914">
        <v>0</v>
      </c>
      <c r="N206" s="108">
        <f t="shared" si="116"/>
        <v>-62303.45</v>
      </c>
      <c r="O206" s="301">
        <f t="shared" si="113"/>
        <v>-72602.70000000001</v>
      </c>
      <c r="P206" s="633">
        <v>480.3</v>
      </c>
      <c r="Q206" s="480"/>
      <c r="R206" s="633">
        <f>525.36+835.35</f>
        <v>1360.71</v>
      </c>
      <c r="S206" s="301">
        <f t="shared" si="117"/>
        <v>-73483.11000000002</v>
      </c>
      <c r="T206" s="411">
        <f t="shared" si="118"/>
        <v>1360.71</v>
      </c>
      <c r="U206" s="411">
        <f t="shared" si="119"/>
        <v>0</v>
      </c>
      <c r="V206" s="411">
        <f t="shared" si="120"/>
        <v>0</v>
      </c>
      <c r="W206" s="413">
        <f t="shared" si="121"/>
        <v>1360.71</v>
      </c>
      <c r="X206" s="249">
        <f t="shared" si="122"/>
        <v>3263.71</v>
      </c>
      <c r="Y206" s="250">
        <f t="shared" si="123"/>
        <v>1284.72</v>
      </c>
      <c r="Z206" s="247">
        <f t="shared" si="124"/>
        <v>0</v>
      </c>
      <c r="AA206" s="622">
        <f t="shared" si="125"/>
        <v>4548.43</v>
      </c>
      <c r="AB206" s="620">
        <f t="shared" si="126"/>
        <v>1284.72</v>
      </c>
      <c r="AC206" s="270">
        <f t="shared" si="127"/>
        <v>43448.46000000001</v>
      </c>
      <c r="AD206" s="444">
        <f t="shared" si="128"/>
        <v>48955.409999999996</v>
      </c>
      <c r="AE206" s="512">
        <f t="shared" si="129"/>
        <v>48955.409999999996</v>
      </c>
    </row>
    <row r="207" spans="1:31" ht="18.75">
      <c r="A207" s="708" t="s">
        <v>255</v>
      </c>
      <c r="B207" s="74">
        <f t="shared" si="110"/>
        <v>103317.74000000002</v>
      </c>
      <c r="C207" s="702">
        <v>15747.89</v>
      </c>
      <c r="D207" s="702">
        <v>7057.69</v>
      </c>
      <c r="E207" s="450"/>
      <c r="F207" s="74">
        <f t="shared" si="114"/>
        <v>112007.94000000002</v>
      </c>
      <c r="G207" s="258">
        <f t="shared" si="111"/>
        <v>0</v>
      </c>
      <c r="H207" s="604"/>
      <c r="I207" s="1030">
        <v>0</v>
      </c>
      <c r="J207" s="285">
        <f t="shared" si="115"/>
        <v>0</v>
      </c>
      <c r="K207" s="302">
        <f t="shared" si="112"/>
        <v>0</v>
      </c>
      <c r="L207" s="1043">
        <v>0</v>
      </c>
      <c r="M207" s="1033"/>
      <c r="N207" s="108">
        <f t="shared" si="116"/>
        <v>0</v>
      </c>
      <c r="O207" s="301">
        <f t="shared" si="113"/>
        <v>13822.769999999999</v>
      </c>
      <c r="P207" s="633">
        <v>10.61</v>
      </c>
      <c r="Q207" s="480"/>
      <c r="R207" s="633">
        <v>10.37</v>
      </c>
      <c r="S207" s="301">
        <f t="shared" si="117"/>
        <v>13823.009999999998</v>
      </c>
      <c r="T207" s="411">
        <f t="shared" si="118"/>
        <v>10.37</v>
      </c>
      <c r="U207" s="411">
        <f t="shared" si="119"/>
        <v>0</v>
      </c>
      <c r="V207" s="411">
        <f t="shared" si="120"/>
        <v>0</v>
      </c>
      <c r="W207" s="413">
        <f t="shared" si="121"/>
        <v>10.37</v>
      </c>
      <c r="X207" s="249">
        <f t="shared" si="122"/>
        <v>162.35</v>
      </c>
      <c r="Y207" s="250">
        <f t="shared" si="123"/>
        <v>0</v>
      </c>
      <c r="Z207" s="247">
        <f t="shared" si="124"/>
        <v>0</v>
      </c>
      <c r="AA207" s="622">
        <f t="shared" si="125"/>
        <v>162.35</v>
      </c>
      <c r="AB207" s="620">
        <f t="shared" si="126"/>
        <v>0</v>
      </c>
      <c r="AC207" s="270">
        <f t="shared" si="127"/>
        <v>15758.5</v>
      </c>
      <c r="AD207" s="444">
        <f t="shared" si="128"/>
        <v>7068.0599999999995</v>
      </c>
      <c r="AE207" s="512">
        <f t="shared" si="129"/>
        <v>7068.0599999999995</v>
      </c>
    </row>
    <row r="208" spans="1:31" ht="32.25" customHeight="1">
      <c r="A208" s="412" t="s">
        <v>127</v>
      </c>
      <c r="B208" s="711">
        <f>SUM(B183:B207)</f>
        <v>1837097.1500000022</v>
      </c>
      <c r="C208" s="627">
        <f>SUM(C183:C207)</f>
        <v>835026.2000000001</v>
      </c>
      <c r="D208" s="627">
        <f>SUM(D183:D207)</f>
        <v>859092.8099999998</v>
      </c>
      <c r="E208" s="712"/>
      <c r="F208" s="711">
        <f>SUM(F183:F207)</f>
        <v>1813030.5400000017</v>
      </c>
      <c r="G208" s="414">
        <f>SUM(G183:G207)</f>
        <v>168968.18999999994</v>
      </c>
      <c r="H208" s="1038">
        <f>SUM(H183:H205)</f>
        <v>10097.32</v>
      </c>
      <c r="I208" s="1039">
        <f>SUM(I183:I205)</f>
        <v>0</v>
      </c>
      <c r="J208" s="443">
        <f aca="true" t="shared" si="130" ref="J208:P208">SUM(J183:J207)</f>
        <v>179065.51</v>
      </c>
      <c r="K208" s="443">
        <f t="shared" si="130"/>
        <v>-79592.78999999998</v>
      </c>
      <c r="L208" s="516">
        <f t="shared" si="130"/>
        <v>26332.459999999995</v>
      </c>
      <c r="M208" s="1044">
        <f t="shared" si="130"/>
        <v>30039.239999999998</v>
      </c>
      <c r="N208" s="415">
        <f t="shared" si="130"/>
        <v>-83299.56999999998</v>
      </c>
      <c r="O208" s="641">
        <f t="shared" si="130"/>
        <v>-144359.84</v>
      </c>
      <c r="P208" s="443">
        <f t="shared" si="130"/>
        <v>2637.65</v>
      </c>
      <c r="Q208" s="397"/>
      <c r="R208" s="442">
        <f>SUM(R183:R207)</f>
        <v>7958.63</v>
      </c>
      <c r="S208" s="443">
        <f>SUM(S183:S207)</f>
        <v>-149680.82</v>
      </c>
      <c r="T208" s="414">
        <f>SUM(T183:T207)</f>
        <v>7958.63</v>
      </c>
      <c r="U208" s="414">
        <f>SUM(U183:U207)</f>
        <v>30039.239999999998</v>
      </c>
      <c r="V208" s="414">
        <f>SUM(V183:V207)</f>
        <v>0</v>
      </c>
      <c r="W208" s="414">
        <f>T208+U208+V208</f>
        <v>37997.869999999995</v>
      </c>
      <c r="X208" s="414">
        <f>SUM(X183:X207)</f>
        <v>23179.449999999997</v>
      </c>
      <c r="Y208" s="414">
        <f>SUM(Y183:Y207)</f>
        <v>75848.29000000001</v>
      </c>
      <c r="Z208" s="414">
        <f>SUM(Z183:Z205)</f>
        <v>0</v>
      </c>
      <c r="AA208" s="414">
        <f>SUM(AA183:AA207)</f>
        <v>99027.73999999999</v>
      </c>
      <c r="AB208" s="1045">
        <f>SUM(AB183:AB207)</f>
        <v>75848.29000000001</v>
      </c>
      <c r="AC208" s="646">
        <f>SUM(AC183:AC207)</f>
        <v>874093.63</v>
      </c>
      <c r="AD208" s="646">
        <f>SUM(AD183:AD207)</f>
        <v>897090.68</v>
      </c>
      <c r="AE208" s="646">
        <f>SUM(AE183:AE207)</f>
        <v>867051.4400000001</v>
      </c>
    </row>
    <row r="209" spans="1:31" s="667" customFormat="1" ht="32.25" customHeight="1">
      <c r="A209" s="928"/>
      <c r="B209" s="929"/>
      <c r="C209" s="930"/>
      <c r="D209" s="930"/>
      <c r="E209" s="931"/>
      <c r="F209" s="929"/>
      <c r="G209" s="878"/>
      <c r="H209" s="920"/>
      <c r="I209" s="931"/>
      <c r="J209" s="677"/>
      <c r="K209" s="677"/>
      <c r="L209" s="677"/>
      <c r="M209" s="676"/>
      <c r="N209" s="675"/>
      <c r="O209" s="865"/>
      <c r="P209" s="677"/>
      <c r="Q209" s="550"/>
      <c r="R209" s="678"/>
      <c r="S209" s="677"/>
      <c r="T209" s="878"/>
      <c r="U209" s="878"/>
      <c r="V209" s="878"/>
      <c r="W209" s="878">
        <f>SUM(W183:W208)</f>
        <v>75995.73999999999</v>
      </c>
      <c r="X209" s="878"/>
      <c r="Y209" s="878"/>
      <c r="Z209" s="878"/>
      <c r="AA209" s="878"/>
      <c r="AB209" s="878"/>
      <c r="AC209" s="675"/>
      <c r="AD209" s="675"/>
      <c r="AE209" s="675"/>
    </row>
    <row r="210" spans="1:19" ht="36.75" customHeight="1">
      <c r="A210" s="68"/>
      <c r="B210" s="69" t="s">
        <v>307</v>
      </c>
      <c r="C210" s="69"/>
      <c r="D210" s="69"/>
      <c r="E210" s="69"/>
      <c r="F210" s="68"/>
      <c r="G210" s="5"/>
      <c r="H210" s="4"/>
      <c r="I210" s="5"/>
      <c r="J210" s="240" t="s">
        <v>60</v>
      </c>
      <c r="K210" s="6"/>
      <c r="L210" s="5"/>
      <c r="O210" s="2"/>
      <c r="S210" s="240" t="s">
        <v>60</v>
      </c>
    </row>
    <row r="211" spans="1:25" ht="18.75">
      <c r="A211" s="434" t="s">
        <v>130</v>
      </c>
      <c r="B211" s="1623" t="s">
        <v>308</v>
      </c>
      <c r="C211" s="1597" t="s">
        <v>2</v>
      </c>
      <c r="D211" s="1598"/>
      <c r="E211" s="1598"/>
      <c r="F211" s="1599"/>
      <c r="G211" s="417" t="s">
        <v>27</v>
      </c>
      <c r="H211" s="1600" t="s">
        <v>3</v>
      </c>
      <c r="I211" s="1601"/>
      <c r="J211" s="1602"/>
      <c r="K211" s="418" t="s">
        <v>27</v>
      </c>
      <c r="L211" s="1570" t="s">
        <v>4</v>
      </c>
      <c r="M211" s="1570"/>
      <c r="N211" s="1570"/>
      <c r="O211" s="419" t="s">
        <v>27</v>
      </c>
      <c r="P211" s="1614" t="s">
        <v>23</v>
      </c>
      <c r="Q211" s="1614"/>
      <c r="R211" s="1614"/>
      <c r="S211" s="1614"/>
      <c r="T211" s="1609" t="s">
        <v>311</v>
      </c>
      <c r="U211" s="1610"/>
      <c r="V211" s="1610"/>
      <c r="W211" s="1611"/>
      <c r="X211" s="435"/>
      <c r="Y211" s="435"/>
    </row>
    <row r="212" spans="1:26" ht="37.5">
      <c r="A212" s="420" t="s">
        <v>1</v>
      </c>
      <c r="B212" s="1624"/>
      <c r="C212" s="421" t="s">
        <v>5</v>
      </c>
      <c r="D212" s="421" t="s">
        <v>6</v>
      </c>
      <c r="E212" s="421" t="s">
        <v>65</v>
      </c>
      <c r="F212" s="421" t="s">
        <v>7</v>
      </c>
      <c r="G212" s="422" t="s">
        <v>309</v>
      </c>
      <c r="H212" s="423" t="s">
        <v>5</v>
      </c>
      <c r="I212" s="423" t="s">
        <v>6</v>
      </c>
      <c r="J212" s="422" t="s">
        <v>310</v>
      </c>
      <c r="K212" s="424" t="s">
        <v>309</v>
      </c>
      <c r="L212" s="424" t="s">
        <v>5</v>
      </c>
      <c r="M212" s="424" t="s">
        <v>6</v>
      </c>
      <c r="N212" s="424" t="s">
        <v>25</v>
      </c>
      <c r="O212" s="425" t="s">
        <v>309</v>
      </c>
      <c r="P212" s="425" t="s">
        <v>5</v>
      </c>
      <c r="Q212" s="425" t="s">
        <v>64</v>
      </c>
      <c r="R212" s="425" t="s">
        <v>6</v>
      </c>
      <c r="S212" s="425" t="s">
        <v>25</v>
      </c>
      <c r="T212" s="296" t="s">
        <v>94</v>
      </c>
      <c r="U212" s="296" t="s">
        <v>69</v>
      </c>
      <c r="V212" s="296" t="s">
        <v>95</v>
      </c>
      <c r="W212" s="296" t="s">
        <v>157</v>
      </c>
      <c r="X212" s="426" t="s">
        <v>106</v>
      </c>
      <c r="Y212" s="426" t="s">
        <v>107</v>
      </c>
      <c r="Z212" s="577" t="s">
        <v>164</v>
      </c>
    </row>
    <row r="213" spans="1:26" ht="18.75" customHeight="1">
      <c r="A213" s="427" t="s">
        <v>47</v>
      </c>
      <c r="B213" s="428">
        <f aca="true" t="shared" si="131" ref="B213:B237">F183</f>
        <v>120631.08999999994</v>
      </c>
      <c r="C213" s="429">
        <v>13336.39</v>
      </c>
      <c r="D213" s="429">
        <v>13334</v>
      </c>
      <c r="E213" s="430"/>
      <c r="F213" s="428">
        <f>B213+C213-D213</f>
        <v>120633.47999999992</v>
      </c>
      <c r="G213" s="285">
        <f aca="true" t="shared" si="132" ref="G213:G237">J183</f>
        <v>25440.52999999998</v>
      </c>
      <c r="H213" s="601">
        <f>1334.01+1334.01</f>
        <v>2668.02</v>
      </c>
      <c r="I213" s="436">
        <v>0</v>
      </c>
      <c r="J213" s="285">
        <f>G213+H213-I213</f>
        <v>28108.54999999998</v>
      </c>
      <c r="K213" s="437">
        <f aca="true" t="shared" si="133" ref="K213:K237">N183</f>
        <v>-5365.19</v>
      </c>
      <c r="L213" s="1069">
        <v>4271.8</v>
      </c>
      <c r="M213" s="642"/>
      <c r="N213" s="437">
        <f>K213+L213-M213</f>
        <v>-1093.3899999999994</v>
      </c>
      <c r="O213" s="438">
        <f aca="true" t="shared" si="134" ref="O213:O237">S183</f>
        <v>-1353.5200000000002</v>
      </c>
      <c r="P213" s="439">
        <v>147.27</v>
      </c>
      <c r="Q213" s="440"/>
      <c r="R213" s="439">
        <v>131.87</v>
      </c>
      <c r="S213" s="301">
        <f>O213+P213-R213</f>
        <v>-1338.1200000000003</v>
      </c>
      <c r="T213" s="296">
        <f>R213</f>
        <v>131.87</v>
      </c>
      <c r="U213" s="793">
        <f>M213</f>
        <v>0</v>
      </c>
      <c r="V213" s="794">
        <f>I213</f>
        <v>0</v>
      </c>
      <c r="W213" s="296">
        <f>T213+U213+V213</f>
        <v>131.87</v>
      </c>
      <c r="X213" s="444">
        <f>C213+H213+L213+P213</f>
        <v>20423.48</v>
      </c>
      <c r="Y213" s="382">
        <f>D213+I213+M213+R213</f>
        <v>13465.87</v>
      </c>
      <c r="Z213" s="578">
        <f>D213+R213</f>
        <v>13465.87</v>
      </c>
    </row>
    <row r="214" spans="1:26" ht="18.75">
      <c r="A214" s="431" t="s">
        <v>53</v>
      </c>
      <c r="B214" s="428">
        <f t="shared" si="131"/>
        <v>120431.81000000019</v>
      </c>
      <c r="C214" s="429">
        <v>29755.06</v>
      </c>
      <c r="D214" s="429">
        <v>30221.87</v>
      </c>
      <c r="E214" s="430"/>
      <c r="F214" s="428">
        <f aca="true" t="shared" si="135" ref="F214:F238">B214+C214-D214</f>
        <v>119965.0000000002</v>
      </c>
      <c r="G214" s="285">
        <f t="shared" si="132"/>
        <v>1648.54</v>
      </c>
      <c r="H214" s="601">
        <f>258.4+258.4</f>
        <v>516.8</v>
      </c>
      <c r="I214" s="436">
        <v>0</v>
      </c>
      <c r="J214" s="285">
        <f aca="true" t="shared" si="136" ref="J214:J238">G214+H214-I214</f>
        <v>2165.34</v>
      </c>
      <c r="K214" s="437">
        <f t="shared" si="133"/>
        <v>-3019.4999999999986</v>
      </c>
      <c r="L214" s="1069">
        <v>120.78</v>
      </c>
      <c r="M214" s="643"/>
      <c r="N214" s="437">
        <f aca="true" t="shared" si="137" ref="N214:N238">K214+L214-M214</f>
        <v>-2898.7199999999984</v>
      </c>
      <c r="O214" s="438">
        <f t="shared" si="134"/>
        <v>-820.5800000000002</v>
      </c>
      <c r="P214" s="439">
        <v>91.32</v>
      </c>
      <c r="Q214" s="440"/>
      <c r="R214" s="439">
        <v>104.28</v>
      </c>
      <c r="S214" s="301">
        <f aca="true" t="shared" si="138" ref="S214:S238">O214+P214-R214</f>
        <v>-833.5400000000002</v>
      </c>
      <c r="T214" s="296">
        <f aca="true" t="shared" si="139" ref="T214:T238">R214</f>
        <v>104.28</v>
      </c>
      <c r="U214" s="793">
        <f aca="true" t="shared" si="140" ref="U214:U238">M214</f>
        <v>0</v>
      </c>
      <c r="V214" s="794"/>
      <c r="W214" s="296">
        <f aca="true" t="shared" si="141" ref="W214:W238">T214+U214+V214</f>
        <v>104.28</v>
      </c>
      <c r="X214" s="444">
        <f aca="true" t="shared" si="142" ref="X214:X238">C214+H214+L214+P214</f>
        <v>30483.96</v>
      </c>
      <c r="Y214" s="382">
        <f aca="true" t="shared" si="143" ref="Y214:Y238">D214+I214+M214+R214</f>
        <v>30326.149999999998</v>
      </c>
      <c r="Z214" s="578">
        <f aca="true" t="shared" si="144" ref="Z214:Z238">D214+R214</f>
        <v>30326.149999999998</v>
      </c>
    </row>
    <row r="215" spans="1:26" ht="18.75">
      <c r="A215" s="431" t="s">
        <v>8</v>
      </c>
      <c r="B215" s="428">
        <f t="shared" si="131"/>
        <v>74445.62</v>
      </c>
      <c r="C215" s="432">
        <v>0</v>
      </c>
      <c r="D215" s="432">
        <v>0</v>
      </c>
      <c r="E215" s="432"/>
      <c r="F215" s="428">
        <f t="shared" si="135"/>
        <v>74445.62</v>
      </c>
      <c r="G215" s="285">
        <f t="shared" si="132"/>
        <v>0</v>
      </c>
      <c r="H215" s="602"/>
      <c r="I215" s="436">
        <v>0</v>
      </c>
      <c r="J215" s="285">
        <f t="shared" si="136"/>
        <v>0</v>
      </c>
      <c r="K215" s="437">
        <f t="shared" si="133"/>
        <v>0</v>
      </c>
      <c r="L215" s="1069"/>
      <c r="M215" s="639"/>
      <c r="N215" s="437">
        <f t="shared" si="137"/>
        <v>0</v>
      </c>
      <c r="O215" s="438">
        <f t="shared" si="134"/>
        <v>0</v>
      </c>
      <c r="P215" s="441"/>
      <c r="Q215" s="441"/>
      <c r="R215" s="441"/>
      <c r="S215" s="301">
        <f t="shared" si="138"/>
        <v>0</v>
      </c>
      <c r="T215" s="296">
        <f t="shared" si="139"/>
        <v>0</v>
      </c>
      <c r="U215" s="793">
        <f t="shared" si="140"/>
        <v>0</v>
      </c>
      <c r="V215" s="794">
        <f aca="true" t="shared" si="145" ref="V215:V238">I215</f>
        <v>0</v>
      </c>
      <c r="W215" s="296">
        <f t="shared" si="141"/>
        <v>0</v>
      </c>
      <c r="X215" s="444">
        <f t="shared" si="142"/>
        <v>0</v>
      </c>
      <c r="Y215" s="382">
        <f t="shared" si="143"/>
        <v>0</v>
      </c>
      <c r="Z215" s="578">
        <f t="shared" si="144"/>
        <v>0</v>
      </c>
    </row>
    <row r="216" spans="1:26" ht="18.75">
      <c r="A216" s="431" t="s">
        <v>48</v>
      </c>
      <c r="B216" s="428">
        <f t="shared" si="131"/>
        <v>353481.9600000002</v>
      </c>
      <c r="C216" s="432">
        <v>72292</v>
      </c>
      <c r="D216" s="432">
        <v>69018.82</v>
      </c>
      <c r="E216" s="432"/>
      <c r="F216" s="428">
        <f t="shared" si="135"/>
        <v>356755.1400000002</v>
      </c>
      <c r="G216" s="285">
        <f t="shared" si="132"/>
        <v>30968.429999999997</v>
      </c>
      <c r="H216" s="602">
        <f>1241.79+1241.79</f>
        <v>2483.58</v>
      </c>
      <c r="I216" s="436">
        <v>0</v>
      </c>
      <c r="J216" s="285">
        <f t="shared" si="136"/>
        <v>33452.009999999995</v>
      </c>
      <c r="K216" s="437">
        <f t="shared" si="133"/>
        <v>2186.7100000000014</v>
      </c>
      <c r="L216" s="1069">
        <f>1653.07+242.74</f>
        <v>1895.81</v>
      </c>
      <c r="M216" s="639">
        <v>5175.98</v>
      </c>
      <c r="N216" s="437">
        <f t="shared" si="137"/>
        <v>-1093.4599999999982</v>
      </c>
      <c r="O216" s="438">
        <f t="shared" si="134"/>
        <v>-2193.7299999999987</v>
      </c>
      <c r="P216" s="441">
        <v>263.29</v>
      </c>
      <c r="Q216" s="441"/>
      <c r="R216" s="441">
        <v>214.38</v>
      </c>
      <c r="S216" s="301">
        <f t="shared" si="138"/>
        <v>-2144.819999999999</v>
      </c>
      <c r="T216" s="296">
        <f t="shared" si="139"/>
        <v>214.38</v>
      </c>
      <c r="U216" s="793">
        <f t="shared" si="140"/>
        <v>5175.98</v>
      </c>
      <c r="V216" s="794">
        <f t="shared" si="145"/>
        <v>0</v>
      </c>
      <c r="W216" s="296">
        <f t="shared" si="141"/>
        <v>5390.36</v>
      </c>
      <c r="X216" s="444">
        <f t="shared" si="142"/>
        <v>76934.68</v>
      </c>
      <c r="Y216" s="382">
        <f t="shared" si="143"/>
        <v>74409.18000000001</v>
      </c>
      <c r="Z216" s="578">
        <f t="shared" si="144"/>
        <v>69233.20000000001</v>
      </c>
    </row>
    <row r="217" spans="1:26" ht="18.75">
      <c r="A217" s="431" t="s">
        <v>9</v>
      </c>
      <c r="B217" s="428">
        <f t="shared" si="131"/>
        <v>118714.87000000008</v>
      </c>
      <c r="C217" s="432">
        <v>17857.29</v>
      </c>
      <c r="D217" s="432">
        <v>18263.7</v>
      </c>
      <c r="E217" s="432"/>
      <c r="F217" s="428">
        <f t="shared" si="135"/>
        <v>118308.4600000001</v>
      </c>
      <c r="G217" s="285">
        <f t="shared" si="132"/>
        <v>37465.7</v>
      </c>
      <c r="H217" s="602">
        <f>1527.99+99.64+1527.99+99.64</f>
        <v>3255.2599999999998</v>
      </c>
      <c r="I217" s="436">
        <v>0</v>
      </c>
      <c r="J217" s="285">
        <f t="shared" si="136"/>
        <v>40720.96</v>
      </c>
      <c r="K217" s="437">
        <f t="shared" si="133"/>
        <v>0</v>
      </c>
      <c r="L217" s="1069"/>
      <c r="M217" s="639"/>
      <c r="N217" s="437">
        <f t="shared" si="137"/>
        <v>0</v>
      </c>
      <c r="O217" s="438">
        <f t="shared" si="134"/>
        <v>314.24999999999994</v>
      </c>
      <c r="P217" s="441">
        <v>83.06</v>
      </c>
      <c r="Q217" s="441"/>
      <c r="R217" s="441">
        <v>61.69</v>
      </c>
      <c r="S217" s="301">
        <f t="shared" si="138"/>
        <v>335.61999999999995</v>
      </c>
      <c r="T217" s="296">
        <f t="shared" si="139"/>
        <v>61.69</v>
      </c>
      <c r="U217" s="797">
        <f t="shared" si="140"/>
        <v>0</v>
      </c>
      <c r="V217" s="794">
        <f t="shared" si="145"/>
        <v>0</v>
      </c>
      <c r="W217" s="296">
        <f t="shared" si="141"/>
        <v>61.69</v>
      </c>
      <c r="X217" s="444">
        <f t="shared" si="142"/>
        <v>21195.61</v>
      </c>
      <c r="Y217" s="382">
        <f t="shared" si="143"/>
        <v>18325.39</v>
      </c>
      <c r="Z217" s="578">
        <f t="shared" si="144"/>
        <v>18325.39</v>
      </c>
    </row>
    <row r="218" spans="1:26" ht="18.75">
      <c r="A218" s="431" t="s">
        <v>10</v>
      </c>
      <c r="B218" s="428">
        <f t="shared" si="131"/>
        <v>9969.120000000084</v>
      </c>
      <c r="C218" s="432">
        <v>7795.77</v>
      </c>
      <c r="D218" s="432">
        <v>10089.62</v>
      </c>
      <c r="E218" s="432"/>
      <c r="F218" s="428">
        <f t="shared" si="135"/>
        <v>7675.270000000086</v>
      </c>
      <c r="G218" s="285">
        <f t="shared" si="132"/>
        <v>0</v>
      </c>
      <c r="H218" s="602"/>
      <c r="I218" s="436">
        <v>0</v>
      </c>
      <c r="J218" s="285">
        <f t="shared" si="136"/>
        <v>0</v>
      </c>
      <c r="K218" s="437">
        <f t="shared" si="133"/>
        <v>0</v>
      </c>
      <c r="L218" s="1040"/>
      <c r="M218" s="639"/>
      <c r="N218" s="437">
        <f t="shared" si="137"/>
        <v>0</v>
      </c>
      <c r="O218" s="438">
        <f t="shared" si="134"/>
        <v>15.329999999999984</v>
      </c>
      <c r="P218" s="441">
        <v>112.38</v>
      </c>
      <c r="Q218" s="441"/>
      <c r="R218" s="441">
        <v>120.45</v>
      </c>
      <c r="S218" s="301">
        <f t="shared" si="138"/>
        <v>7.259999999999977</v>
      </c>
      <c r="T218" s="296">
        <f t="shared" si="139"/>
        <v>120.45</v>
      </c>
      <c r="U218" s="793">
        <f t="shared" si="140"/>
        <v>0</v>
      </c>
      <c r="V218" s="794">
        <f t="shared" si="145"/>
        <v>0</v>
      </c>
      <c r="W218" s="296">
        <f t="shared" si="141"/>
        <v>120.45</v>
      </c>
      <c r="X218" s="444">
        <f t="shared" si="142"/>
        <v>7908.150000000001</v>
      </c>
      <c r="Y218" s="382">
        <f t="shared" si="143"/>
        <v>10210.070000000002</v>
      </c>
      <c r="Z218" s="578">
        <f t="shared" si="144"/>
        <v>10210.070000000002</v>
      </c>
    </row>
    <row r="219" spans="1:26" ht="18.75">
      <c r="A219" s="431" t="s">
        <v>11</v>
      </c>
      <c r="B219" s="428">
        <f t="shared" si="131"/>
        <v>7934.02000000004</v>
      </c>
      <c r="C219" s="432">
        <v>7768.21</v>
      </c>
      <c r="D219" s="432">
        <v>7446.56</v>
      </c>
      <c r="E219" s="432"/>
      <c r="F219" s="428">
        <f t="shared" si="135"/>
        <v>8255.670000000038</v>
      </c>
      <c r="G219" s="285">
        <f t="shared" si="132"/>
        <v>0</v>
      </c>
      <c r="H219" s="602"/>
      <c r="I219" s="436">
        <v>0</v>
      </c>
      <c r="J219" s="285">
        <f t="shared" si="136"/>
        <v>0</v>
      </c>
      <c r="K219" s="437">
        <f t="shared" si="133"/>
        <v>0</v>
      </c>
      <c r="L219" s="1040"/>
      <c r="M219" s="639"/>
      <c r="N219" s="437">
        <f t="shared" si="137"/>
        <v>0</v>
      </c>
      <c r="O219" s="438">
        <f t="shared" si="134"/>
        <v>41.42</v>
      </c>
      <c r="P219" s="441">
        <v>3.36</v>
      </c>
      <c r="Q219" s="441"/>
      <c r="R219" s="441">
        <v>3.36</v>
      </c>
      <c r="S219" s="301">
        <f t="shared" si="138"/>
        <v>41.42</v>
      </c>
      <c r="T219" s="296">
        <f t="shared" si="139"/>
        <v>3.36</v>
      </c>
      <c r="U219" s="793">
        <f t="shared" si="140"/>
        <v>0</v>
      </c>
      <c r="V219" s="794">
        <f t="shared" si="145"/>
        <v>0</v>
      </c>
      <c r="W219" s="296">
        <f t="shared" si="141"/>
        <v>3.36</v>
      </c>
      <c r="X219" s="444">
        <f t="shared" si="142"/>
        <v>7771.57</v>
      </c>
      <c r="Y219" s="382">
        <f t="shared" si="143"/>
        <v>7449.92</v>
      </c>
      <c r="Z219" s="578">
        <f t="shared" si="144"/>
        <v>7449.92</v>
      </c>
    </row>
    <row r="220" spans="1:26" ht="18.75">
      <c r="A220" s="431" t="s">
        <v>12</v>
      </c>
      <c r="B220" s="428">
        <f t="shared" si="131"/>
        <v>84460.00000000025</v>
      </c>
      <c r="C220" s="432">
        <v>44465.15</v>
      </c>
      <c r="D220" s="432">
        <v>40795.26</v>
      </c>
      <c r="E220" s="432"/>
      <c r="F220" s="428">
        <f t="shared" si="135"/>
        <v>88129.89000000025</v>
      </c>
      <c r="G220" s="285">
        <f t="shared" si="132"/>
        <v>9828.319999999998</v>
      </c>
      <c r="H220" s="602">
        <f>517.28+517.28</f>
        <v>1034.56</v>
      </c>
      <c r="I220" s="436">
        <v>0</v>
      </c>
      <c r="J220" s="285">
        <f t="shared" si="136"/>
        <v>10862.879999999997</v>
      </c>
      <c r="K220" s="437">
        <f t="shared" si="133"/>
        <v>1508.3999999999987</v>
      </c>
      <c r="L220" s="1069">
        <v>1526.4</v>
      </c>
      <c r="M220" s="639">
        <v>1526.4</v>
      </c>
      <c r="N220" s="437">
        <f t="shared" si="137"/>
        <v>1508.3999999999987</v>
      </c>
      <c r="O220" s="438">
        <f t="shared" si="134"/>
        <v>306.62999999999994</v>
      </c>
      <c r="P220" s="441">
        <v>30.04</v>
      </c>
      <c r="Q220" s="441"/>
      <c r="R220" s="441">
        <v>24.35</v>
      </c>
      <c r="S220" s="301">
        <f t="shared" si="138"/>
        <v>312.31999999999994</v>
      </c>
      <c r="T220" s="296">
        <f t="shared" si="139"/>
        <v>24.35</v>
      </c>
      <c r="U220" s="793">
        <f t="shared" si="140"/>
        <v>1526.4</v>
      </c>
      <c r="V220" s="794">
        <f t="shared" si="145"/>
        <v>0</v>
      </c>
      <c r="W220" s="296">
        <f t="shared" si="141"/>
        <v>1550.75</v>
      </c>
      <c r="X220" s="444">
        <f t="shared" si="142"/>
        <v>47056.15</v>
      </c>
      <c r="Y220" s="382">
        <f t="shared" si="143"/>
        <v>42346.01</v>
      </c>
      <c r="Z220" s="578">
        <f t="shared" si="144"/>
        <v>40819.61</v>
      </c>
    </row>
    <row r="221" spans="1:26" ht="18.75">
      <c r="A221" s="431" t="s">
        <v>13</v>
      </c>
      <c r="B221" s="428">
        <f t="shared" si="131"/>
        <v>57061.55000000002</v>
      </c>
      <c r="C221" s="432">
        <v>26273.16</v>
      </c>
      <c r="D221" s="432">
        <v>27124.42</v>
      </c>
      <c r="E221" s="432"/>
      <c r="F221" s="428">
        <f t="shared" si="135"/>
        <v>56210.29000000002</v>
      </c>
      <c r="G221" s="285">
        <f t="shared" si="132"/>
        <v>3487.3999999999983</v>
      </c>
      <c r="H221" s="602">
        <f>174.37+174.37</f>
        <v>348.74</v>
      </c>
      <c r="I221" s="436">
        <v>0</v>
      </c>
      <c r="J221" s="285">
        <f t="shared" si="136"/>
        <v>3836.1399999999985</v>
      </c>
      <c r="K221" s="437">
        <f t="shared" si="133"/>
        <v>-2290.02</v>
      </c>
      <c r="L221" s="1069">
        <v>645.01</v>
      </c>
      <c r="M221" s="639">
        <v>645.01</v>
      </c>
      <c r="N221" s="437">
        <f t="shared" si="137"/>
        <v>-2290.02</v>
      </c>
      <c r="O221" s="438">
        <f t="shared" si="134"/>
        <v>96.50000000000009</v>
      </c>
      <c r="P221" s="441">
        <v>114.82</v>
      </c>
      <c r="Q221" s="441"/>
      <c r="R221" s="441">
        <v>59.1</v>
      </c>
      <c r="S221" s="301">
        <f t="shared" si="138"/>
        <v>152.22000000000008</v>
      </c>
      <c r="T221" s="296">
        <f t="shared" si="139"/>
        <v>59.1</v>
      </c>
      <c r="U221" s="793">
        <f t="shared" si="140"/>
        <v>645.01</v>
      </c>
      <c r="V221" s="794">
        <f t="shared" si="145"/>
        <v>0</v>
      </c>
      <c r="W221" s="296">
        <f t="shared" si="141"/>
        <v>704.11</v>
      </c>
      <c r="X221" s="444">
        <f t="shared" si="142"/>
        <v>27381.73</v>
      </c>
      <c r="Y221" s="382">
        <f t="shared" si="143"/>
        <v>27828.529999999995</v>
      </c>
      <c r="Z221" s="578">
        <f t="shared" si="144"/>
        <v>27183.519999999997</v>
      </c>
    </row>
    <row r="222" spans="1:26" ht="18.75">
      <c r="A222" s="431" t="s">
        <v>14</v>
      </c>
      <c r="B222" s="428">
        <f t="shared" si="131"/>
        <v>53875.450000000055</v>
      </c>
      <c r="C222" s="432">
        <v>32415.34</v>
      </c>
      <c r="D222" s="432">
        <v>34662.96</v>
      </c>
      <c r="E222" s="432"/>
      <c r="F222" s="428">
        <f t="shared" si="135"/>
        <v>51627.83000000005</v>
      </c>
      <c r="G222" s="285">
        <f t="shared" si="132"/>
        <v>5051.959999999997</v>
      </c>
      <c r="H222" s="602">
        <f>184.44+184.44</f>
        <v>368.88</v>
      </c>
      <c r="I222" s="436">
        <v>0</v>
      </c>
      <c r="J222" s="285">
        <f t="shared" si="136"/>
        <v>5420.839999999997</v>
      </c>
      <c r="K222" s="437">
        <f t="shared" si="133"/>
        <v>4232.939999999999</v>
      </c>
      <c r="L222" s="1069">
        <f>2408.85</f>
        <v>2408.85</v>
      </c>
      <c r="M222" s="639">
        <v>2055.87</v>
      </c>
      <c r="N222" s="437">
        <f t="shared" si="137"/>
        <v>4585.919999999999</v>
      </c>
      <c r="O222" s="438">
        <f t="shared" si="134"/>
        <v>-399.6</v>
      </c>
      <c r="P222" s="441">
        <v>73.28</v>
      </c>
      <c r="Q222" s="441"/>
      <c r="R222" s="441">
        <v>15.96</v>
      </c>
      <c r="S222" s="301">
        <f t="shared" si="138"/>
        <v>-342.28000000000003</v>
      </c>
      <c r="T222" s="296">
        <f t="shared" si="139"/>
        <v>15.96</v>
      </c>
      <c r="U222" s="793">
        <f t="shared" si="140"/>
        <v>2055.87</v>
      </c>
      <c r="V222" s="794">
        <f t="shared" si="145"/>
        <v>0</v>
      </c>
      <c r="W222" s="296">
        <f t="shared" si="141"/>
        <v>2071.83</v>
      </c>
      <c r="X222" s="444">
        <f t="shared" si="142"/>
        <v>35266.35</v>
      </c>
      <c r="Y222" s="382">
        <f t="shared" si="143"/>
        <v>36734.79</v>
      </c>
      <c r="Z222" s="578">
        <f t="shared" si="144"/>
        <v>34678.92</v>
      </c>
    </row>
    <row r="223" spans="1:26" ht="18.75">
      <c r="A223" s="431" t="s">
        <v>55</v>
      </c>
      <c r="B223" s="428">
        <f t="shared" si="131"/>
        <v>45299.81000000001</v>
      </c>
      <c r="C223" s="432">
        <v>14758.92</v>
      </c>
      <c r="D223" s="432">
        <v>13507.12</v>
      </c>
      <c r="E223" s="432"/>
      <c r="F223" s="428">
        <f t="shared" si="135"/>
        <v>46551.61000000001</v>
      </c>
      <c r="G223" s="285">
        <f t="shared" si="132"/>
        <v>3524.5</v>
      </c>
      <c r="H223" s="602">
        <f>185.5+185.5</f>
        <v>371</v>
      </c>
      <c r="I223" s="436">
        <v>0</v>
      </c>
      <c r="J223" s="285">
        <f t="shared" si="136"/>
        <v>3895.5</v>
      </c>
      <c r="K223" s="437">
        <f t="shared" si="133"/>
        <v>2606.6600000000026</v>
      </c>
      <c r="L223" s="1069">
        <v>372.59</v>
      </c>
      <c r="M223" s="639">
        <v>1490.36</v>
      </c>
      <c r="N223" s="437">
        <f t="shared" si="137"/>
        <v>1488.8900000000028</v>
      </c>
      <c r="O223" s="438">
        <f t="shared" si="134"/>
        <v>-84.25999999999999</v>
      </c>
      <c r="P223" s="441">
        <v>18.26</v>
      </c>
      <c r="Q223" s="441"/>
      <c r="R223" s="441">
        <v>8.26</v>
      </c>
      <c r="S223" s="301">
        <f t="shared" si="138"/>
        <v>-74.25999999999999</v>
      </c>
      <c r="T223" s="296">
        <f t="shared" si="139"/>
        <v>8.26</v>
      </c>
      <c r="U223" s="793">
        <f t="shared" si="140"/>
        <v>1490.36</v>
      </c>
      <c r="V223" s="794">
        <f t="shared" si="145"/>
        <v>0</v>
      </c>
      <c r="W223" s="296">
        <f t="shared" si="141"/>
        <v>1498.62</v>
      </c>
      <c r="X223" s="444">
        <f t="shared" si="142"/>
        <v>15520.77</v>
      </c>
      <c r="Y223" s="382">
        <f t="shared" si="143"/>
        <v>15005.740000000002</v>
      </c>
      <c r="Z223" s="578">
        <f t="shared" si="144"/>
        <v>13515.380000000001</v>
      </c>
    </row>
    <row r="224" spans="1:26" ht="18.75">
      <c r="A224" s="431" t="s">
        <v>15</v>
      </c>
      <c r="B224" s="428">
        <f t="shared" si="131"/>
        <v>105110.79000000031</v>
      </c>
      <c r="C224" s="432">
        <v>34705.99</v>
      </c>
      <c r="D224" s="432">
        <v>31815.08</v>
      </c>
      <c r="E224" s="432"/>
      <c r="F224" s="428">
        <f t="shared" si="135"/>
        <v>108001.70000000032</v>
      </c>
      <c r="G224" s="285">
        <f t="shared" si="132"/>
        <v>0</v>
      </c>
      <c r="H224" s="602"/>
      <c r="I224" s="436">
        <v>0</v>
      </c>
      <c r="J224" s="285">
        <f t="shared" si="136"/>
        <v>0</v>
      </c>
      <c r="K224" s="437">
        <f t="shared" si="133"/>
        <v>-2497.36</v>
      </c>
      <c r="L224" s="1069">
        <v>354.57</v>
      </c>
      <c r="M224" s="639"/>
      <c r="N224" s="437">
        <f t="shared" si="137"/>
        <v>-2142.79</v>
      </c>
      <c r="O224" s="438">
        <f t="shared" si="134"/>
        <v>507.78999999999974</v>
      </c>
      <c r="P224" s="441">
        <v>71.67</v>
      </c>
      <c r="Q224" s="441"/>
      <c r="R224" s="441">
        <v>58.84</v>
      </c>
      <c r="S224" s="301">
        <f t="shared" si="138"/>
        <v>520.6199999999997</v>
      </c>
      <c r="T224" s="296">
        <f t="shared" si="139"/>
        <v>58.84</v>
      </c>
      <c r="U224" s="793">
        <f t="shared" si="140"/>
        <v>0</v>
      </c>
      <c r="V224" s="794">
        <f t="shared" si="145"/>
        <v>0</v>
      </c>
      <c r="W224" s="296">
        <f t="shared" si="141"/>
        <v>58.84</v>
      </c>
      <c r="X224" s="444">
        <f t="shared" si="142"/>
        <v>35132.229999999996</v>
      </c>
      <c r="Y224" s="382">
        <f t="shared" si="143"/>
        <v>31873.920000000002</v>
      </c>
      <c r="Z224" s="578">
        <f t="shared" si="144"/>
        <v>31873.920000000002</v>
      </c>
    </row>
    <row r="225" spans="1:26" ht="18.75">
      <c r="A225" s="431" t="s">
        <v>16</v>
      </c>
      <c r="B225" s="428">
        <f t="shared" si="131"/>
        <v>30269.05000000007</v>
      </c>
      <c r="C225" s="432">
        <v>28244.23</v>
      </c>
      <c r="D225" s="432">
        <v>28742.19</v>
      </c>
      <c r="E225" s="432"/>
      <c r="F225" s="428">
        <f t="shared" si="135"/>
        <v>29771.090000000073</v>
      </c>
      <c r="G225" s="285">
        <f t="shared" si="132"/>
        <v>0</v>
      </c>
      <c r="H225" s="602"/>
      <c r="I225" s="436">
        <v>0</v>
      </c>
      <c r="J225" s="285">
        <f t="shared" si="136"/>
        <v>0</v>
      </c>
      <c r="K225" s="437">
        <f t="shared" si="133"/>
        <v>2036.790000000002</v>
      </c>
      <c r="L225" s="1069">
        <v>290.97</v>
      </c>
      <c r="M225" s="639"/>
      <c r="N225" s="437">
        <f t="shared" si="137"/>
        <v>2327.760000000002</v>
      </c>
      <c r="O225" s="438">
        <f t="shared" si="134"/>
        <v>82.88999999999999</v>
      </c>
      <c r="P225" s="441">
        <v>9.73</v>
      </c>
      <c r="Q225" s="441"/>
      <c r="R225" s="441">
        <v>7.69</v>
      </c>
      <c r="S225" s="301">
        <f t="shared" si="138"/>
        <v>84.92999999999999</v>
      </c>
      <c r="T225" s="296">
        <f t="shared" si="139"/>
        <v>7.69</v>
      </c>
      <c r="U225" s="793">
        <f t="shared" si="140"/>
        <v>0</v>
      </c>
      <c r="V225" s="794">
        <f t="shared" si="145"/>
        <v>0</v>
      </c>
      <c r="W225" s="296">
        <f t="shared" si="141"/>
        <v>7.69</v>
      </c>
      <c r="X225" s="444">
        <f t="shared" si="142"/>
        <v>28544.93</v>
      </c>
      <c r="Y225" s="382">
        <f t="shared" si="143"/>
        <v>28749.879999999997</v>
      </c>
      <c r="Z225" s="578">
        <f t="shared" si="144"/>
        <v>28749.879999999997</v>
      </c>
    </row>
    <row r="226" spans="1:26" ht="18.75">
      <c r="A226" s="431" t="s">
        <v>17</v>
      </c>
      <c r="B226" s="428">
        <f t="shared" si="131"/>
        <v>49930.41000000028</v>
      </c>
      <c r="C226" s="432">
        <v>36774.58</v>
      </c>
      <c r="D226" s="432">
        <v>34792.06</v>
      </c>
      <c r="E226" s="432"/>
      <c r="F226" s="428">
        <f t="shared" si="135"/>
        <v>51912.930000000284</v>
      </c>
      <c r="G226" s="285">
        <f t="shared" si="132"/>
        <v>6998.650000000003</v>
      </c>
      <c r="H226" s="602">
        <f>368.35+368.35</f>
        <v>736.7</v>
      </c>
      <c r="I226" s="436">
        <v>0</v>
      </c>
      <c r="J226" s="285">
        <f t="shared" si="136"/>
        <v>7735.350000000003</v>
      </c>
      <c r="K226" s="437">
        <f t="shared" si="133"/>
        <v>1239.1399999999999</v>
      </c>
      <c r="L226" s="1069">
        <v>619.57</v>
      </c>
      <c r="M226" s="639">
        <v>1239.14</v>
      </c>
      <c r="N226" s="437">
        <f t="shared" si="137"/>
        <v>619.5699999999999</v>
      </c>
      <c r="O226" s="438">
        <f t="shared" si="134"/>
        <v>110.11000000000004</v>
      </c>
      <c r="P226" s="441">
        <v>9.43</v>
      </c>
      <c r="Q226" s="441"/>
      <c r="R226" s="441">
        <v>8.97</v>
      </c>
      <c r="S226" s="301">
        <f t="shared" si="138"/>
        <v>110.57000000000005</v>
      </c>
      <c r="T226" s="296">
        <f t="shared" si="139"/>
        <v>8.97</v>
      </c>
      <c r="U226" s="797">
        <f t="shared" si="140"/>
        <v>1239.14</v>
      </c>
      <c r="V226" s="794">
        <f t="shared" si="145"/>
        <v>0</v>
      </c>
      <c r="W226" s="296">
        <f t="shared" si="141"/>
        <v>1248.1100000000001</v>
      </c>
      <c r="X226" s="444">
        <f t="shared" si="142"/>
        <v>38140.28</v>
      </c>
      <c r="Y226" s="382">
        <f t="shared" si="143"/>
        <v>36040.17</v>
      </c>
      <c r="Z226" s="578">
        <f t="shared" si="144"/>
        <v>34801.03</v>
      </c>
    </row>
    <row r="227" spans="1:26" ht="18.75">
      <c r="A227" s="431" t="s">
        <v>18</v>
      </c>
      <c r="B227" s="428">
        <f t="shared" si="131"/>
        <v>149718.59000000008</v>
      </c>
      <c r="C227" s="432">
        <v>78276.85</v>
      </c>
      <c r="D227" s="432">
        <v>71247.47</v>
      </c>
      <c r="E227" s="432"/>
      <c r="F227" s="428">
        <f t="shared" si="135"/>
        <v>156747.9700000001</v>
      </c>
      <c r="G227" s="285">
        <f t="shared" si="132"/>
        <v>840.0499999999986</v>
      </c>
      <c r="H227" s="602"/>
      <c r="I227" s="436">
        <v>0</v>
      </c>
      <c r="J227" s="285">
        <f t="shared" si="136"/>
        <v>840.0499999999986</v>
      </c>
      <c r="K227" s="437">
        <f t="shared" si="133"/>
        <v>-315.3499999999999</v>
      </c>
      <c r="L227" s="1069">
        <v>2216.46</v>
      </c>
      <c r="M227" s="639">
        <v>660.91</v>
      </c>
      <c r="N227" s="437">
        <f t="shared" si="137"/>
        <v>1240.2000000000003</v>
      </c>
      <c r="O227" s="438">
        <f t="shared" si="134"/>
        <v>164.58000000000015</v>
      </c>
      <c r="P227" s="441">
        <v>93.62</v>
      </c>
      <c r="Q227" s="441"/>
      <c r="R227" s="441">
        <v>85.83</v>
      </c>
      <c r="S227" s="301">
        <f t="shared" si="138"/>
        <v>172.37000000000018</v>
      </c>
      <c r="T227" s="296">
        <f t="shared" si="139"/>
        <v>85.83</v>
      </c>
      <c r="U227" s="793">
        <f t="shared" si="140"/>
        <v>660.91</v>
      </c>
      <c r="V227" s="794">
        <f t="shared" si="145"/>
        <v>0</v>
      </c>
      <c r="W227" s="296">
        <f t="shared" si="141"/>
        <v>746.74</v>
      </c>
      <c r="X227" s="444">
        <f t="shared" si="142"/>
        <v>80586.93000000001</v>
      </c>
      <c r="Y227" s="382">
        <f t="shared" si="143"/>
        <v>71994.21</v>
      </c>
      <c r="Z227" s="578">
        <f t="shared" si="144"/>
        <v>71333.3</v>
      </c>
    </row>
    <row r="228" spans="1:26" ht="18.75">
      <c r="A228" s="431" t="s">
        <v>54</v>
      </c>
      <c r="B228" s="428">
        <f t="shared" si="131"/>
        <v>65535.05000000032</v>
      </c>
      <c r="C228" s="432">
        <v>33617.9</v>
      </c>
      <c r="D228" s="432">
        <v>36648.24</v>
      </c>
      <c r="E228" s="432"/>
      <c r="F228" s="428">
        <f t="shared" si="135"/>
        <v>62504.710000000334</v>
      </c>
      <c r="G228" s="285">
        <f t="shared" si="132"/>
        <v>5876.520000000001</v>
      </c>
      <c r="H228" s="602">
        <f>261.82+261.82</f>
        <v>523.64</v>
      </c>
      <c r="I228" s="436">
        <v>0</v>
      </c>
      <c r="J228" s="285">
        <f t="shared" si="136"/>
        <v>6400.160000000002</v>
      </c>
      <c r="K228" s="437">
        <f t="shared" si="133"/>
        <v>0</v>
      </c>
      <c r="L228" s="1040"/>
      <c r="M228" s="639"/>
      <c r="N228" s="437">
        <f t="shared" si="137"/>
        <v>0</v>
      </c>
      <c r="O228" s="438">
        <f t="shared" si="134"/>
        <v>-1029.08</v>
      </c>
      <c r="P228" s="441">
        <v>43.32</v>
      </c>
      <c r="Q228" s="441"/>
      <c r="R228" s="441">
        <f>37.7+244.91</f>
        <v>282.61</v>
      </c>
      <c r="S228" s="301">
        <f t="shared" si="138"/>
        <v>-1268.37</v>
      </c>
      <c r="T228" s="296">
        <f t="shared" si="139"/>
        <v>282.61</v>
      </c>
      <c r="U228" s="793">
        <f t="shared" si="140"/>
        <v>0</v>
      </c>
      <c r="V228" s="794">
        <f t="shared" si="145"/>
        <v>0</v>
      </c>
      <c r="W228" s="296">
        <f t="shared" si="141"/>
        <v>282.61</v>
      </c>
      <c r="X228" s="444">
        <f t="shared" si="142"/>
        <v>34184.86</v>
      </c>
      <c r="Y228" s="382">
        <f t="shared" si="143"/>
        <v>36930.85</v>
      </c>
      <c r="Z228" s="578">
        <f t="shared" si="144"/>
        <v>36930.85</v>
      </c>
    </row>
    <row r="229" spans="1:26" ht="18.75">
      <c r="A229" s="431" t="s">
        <v>49</v>
      </c>
      <c r="B229" s="428">
        <f t="shared" si="131"/>
        <v>196493.36000000022</v>
      </c>
      <c r="C229" s="432">
        <v>71492.24</v>
      </c>
      <c r="D229" s="432">
        <v>67206.69</v>
      </c>
      <c r="E229" s="432"/>
      <c r="F229" s="428">
        <f t="shared" si="135"/>
        <v>200778.9100000002</v>
      </c>
      <c r="G229" s="285">
        <f t="shared" si="132"/>
        <v>15527.940000000002</v>
      </c>
      <c r="H229" s="602">
        <f>817.26+817.26</f>
        <v>1634.52</v>
      </c>
      <c r="I229" s="436">
        <v>0</v>
      </c>
      <c r="J229" s="285">
        <f t="shared" si="136"/>
        <v>17162.460000000003</v>
      </c>
      <c r="K229" s="437">
        <f t="shared" si="133"/>
        <v>1468.2100000000037</v>
      </c>
      <c r="L229" s="1069">
        <f>3023.65</f>
        <v>3023.65</v>
      </c>
      <c r="M229" s="639">
        <v>500.32</v>
      </c>
      <c r="N229" s="437">
        <f t="shared" si="137"/>
        <v>3991.540000000004</v>
      </c>
      <c r="O229" s="438">
        <f t="shared" si="134"/>
        <v>-1036.9700000000003</v>
      </c>
      <c r="P229" s="441">
        <v>35.64</v>
      </c>
      <c r="Q229" s="441"/>
      <c r="R229" s="441">
        <v>27.84</v>
      </c>
      <c r="S229" s="301">
        <f t="shared" si="138"/>
        <v>-1029.1700000000003</v>
      </c>
      <c r="T229" s="296">
        <f t="shared" si="139"/>
        <v>27.84</v>
      </c>
      <c r="U229" s="793">
        <f t="shared" si="140"/>
        <v>500.32</v>
      </c>
      <c r="V229" s="794">
        <f t="shared" si="145"/>
        <v>0</v>
      </c>
      <c r="W229" s="296">
        <f t="shared" si="141"/>
        <v>528.16</v>
      </c>
      <c r="X229" s="444">
        <f t="shared" si="142"/>
        <v>76186.05</v>
      </c>
      <c r="Y229" s="382">
        <f t="shared" si="143"/>
        <v>67734.85</v>
      </c>
      <c r="Z229" s="578">
        <f t="shared" si="144"/>
        <v>67234.53</v>
      </c>
    </row>
    <row r="230" spans="1:26" ht="18.75">
      <c r="A230" s="431" t="s">
        <v>19</v>
      </c>
      <c r="B230" s="428">
        <f t="shared" si="131"/>
        <v>86213.98999999999</v>
      </c>
      <c r="C230" s="432">
        <v>52752.49</v>
      </c>
      <c r="D230" s="432">
        <v>51769.31</v>
      </c>
      <c r="E230" s="432"/>
      <c r="F230" s="428">
        <f t="shared" si="135"/>
        <v>87197.16999999998</v>
      </c>
      <c r="G230" s="285">
        <f t="shared" si="132"/>
        <v>7182.679999999996</v>
      </c>
      <c r="H230" s="602">
        <f>356.69+356.69</f>
        <v>713.38</v>
      </c>
      <c r="I230" s="436">
        <v>0</v>
      </c>
      <c r="J230" s="285">
        <f t="shared" si="136"/>
        <v>7896.059999999996</v>
      </c>
      <c r="K230" s="437">
        <f t="shared" si="133"/>
        <v>1212.2300000000005</v>
      </c>
      <c r="L230" s="1069">
        <v>1041.98</v>
      </c>
      <c r="M230" s="639">
        <v>366.23</v>
      </c>
      <c r="N230" s="437">
        <f t="shared" si="137"/>
        <v>1887.9800000000005</v>
      </c>
      <c r="O230" s="438">
        <f t="shared" si="134"/>
        <v>910.0400000000005</v>
      </c>
      <c r="P230" s="441">
        <v>258.15</v>
      </c>
      <c r="Q230" s="441"/>
      <c r="R230" s="441">
        <v>244.57</v>
      </c>
      <c r="S230" s="301">
        <f t="shared" si="138"/>
        <v>923.6200000000006</v>
      </c>
      <c r="T230" s="296">
        <f t="shared" si="139"/>
        <v>244.57</v>
      </c>
      <c r="U230" s="797">
        <f t="shared" si="140"/>
        <v>366.23</v>
      </c>
      <c r="V230" s="794">
        <f t="shared" si="145"/>
        <v>0</v>
      </c>
      <c r="W230" s="296">
        <f t="shared" si="141"/>
        <v>610.8</v>
      </c>
      <c r="X230" s="444">
        <f t="shared" si="142"/>
        <v>54766</v>
      </c>
      <c r="Y230" s="382">
        <f t="shared" si="143"/>
        <v>52380.11</v>
      </c>
      <c r="Z230" s="578">
        <f t="shared" si="144"/>
        <v>52013.88</v>
      </c>
    </row>
    <row r="231" spans="1:26" ht="18.75">
      <c r="A231" s="431" t="s">
        <v>20</v>
      </c>
      <c r="B231" s="428">
        <f t="shared" si="131"/>
        <v>62486.220000000074</v>
      </c>
      <c r="C231" s="432">
        <v>34274.05</v>
      </c>
      <c r="D231" s="432">
        <v>34070.86</v>
      </c>
      <c r="E231" s="432"/>
      <c r="F231" s="428">
        <f t="shared" si="135"/>
        <v>62689.410000000076</v>
      </c>
      <c r="G231" s="285">
        <f t="shared" si="132"/>
        <v>0</v>
      </c>
      <c r="H231" s="603"/>
      <c r="I231" s="436">
        <v>0</v>
      </c>
      <c r="J231" s="285">
        <f t="shared" si="136"/>
        <v>0</v>
      </c>
      <c r="K231" s="437">
        <f t="shared" si="133"/>
        <v>3362.5699999999997</v>
      </c>
      <c r="L231" s="1071">
        <v>689</v>
      </c>
      <c r="M231" s="644"/>
      <c r="N231" s="437">
        <f t="shared" si="137"/>
        <v>4051.5699999999997</v>
      </c>
      <c r="O231" s="438">
        <f t="shared" si="134"/>
        <v>113.48999999999992</v>
      </c>
      <c r="P231" s="441">
        <v>22.63</v>
      </c>
      <c r="Q231" s="441"/>
      <c r="R231" s="441">
        <v>7.74</v>
      </c>
      <c r="S231" s="301">
        <f t="shared" si="138"/>
        <v>128.3799999999999</v>
      </c>
      <c r="T231" s="296">
        <f t="shared" si="139"/>
        <v>7.74</v>
      </c>
      <c r="U231" s="793">
        <f t="shared" si="140"/>
        <v>0</v>
      </c>
      <c r="V231" s="794">
        <f t="shared" si="145"/>
        <v>0</v>
      </c>
      <c r="W231" s="296">
        <f t="shared" si="141"/>
        <v>7.74</v>
      </c>
      <c r="X231" s="444">
        <f t="shared" si="142"/>
        <v>34985.68</v>
      </c>
      <c r="Y231" s="382">
        <f t="shared" si="143"/>
        <v>34078.6</v>
      </c>
      <c r="Z231" s="578">
        <f t="shared" si="144"/>
        <v>34078.6</v>
      </c>
    </row>
    <row r="232" spans="1:32" ht="23.25" customHeight="1">
      <c r="A232" s="433" t="s">
        <v>114</v>
      </c>
      <c r="B232" s="428">
        <f t="shared" si="131"/>
        <v>-438240.03000000044</v>
      </c>
      <c r="C232" s="432">
        <v>41833.43</v>
      </c>
      <c r="D232" s="432">
        <v>47744.68</v>
      </c>
      <c r="E232" s="432"/>
      <c r="F232" s="428">
        <f t="shared" si="135"/>
        <v>-444151.28000000044</v>
      </c>
      <c r="G232" s="285">
        <f t="shared" si="132"/>
        <v>1612.26</v>
      </c>
      <c r="H232" s="600">
        <f>268.71+268.71</f>
        <v>537.42</v>
      </c>
      <c r="I232" s="436">
        <v>0</v>
      </c>
      <c r="J232" s="285">
        <f t="shared" si="136"/>
        <v>2149.68</v>
      </c>
      <c r="K232" s="437">
        <f t="shared" si="133"/>
        <v>1421.6599999999999</v>
      </c>
      <c r="L232" s="1070">
        <v>1421.46</v>
      </c>
      <c r="M232" s="644">
        <v>1421.16</v>
      </c>
      <c r="N232" s="437">
        <f t="shared" si="137"/>
        <v>1421.9599999999998</v>
      </c>
      <c r="O232" s="438">
        <f t="shared" si="134"/>
        <v>46.95999999999998</v>
      </c>
      <c r="P232" s="441">
        <v>50.74</v>
      </c>
      <c r="Q232" s="441"/>
      <c r="R232" s="441">
        <v>52.84</v>
      </c>
      <c r="S232" s="301">
        <f t="shared" si="138"/>
        <v>44.859999999999985</v>
      </c>
      <c r="T232" s="296">
        <f t="shared" si="139"/>
        <v>52.84</v>
      </c>
      <c r="U232" s="793">
        <f t="shared" si="140"/>
        <v>1421.16</v>
      </c>
      <c r="V232" s="794">
        <f t="shared" si="145"/>
        <v>0</v>
      </c>
      <c r="W232" s="296">
        <f t="shared" si="141"/>
        <v>1474</v>
      </c>
      <c r="X232" s="444">
        <f t="shared" si="142"/>
        <v>43843.049999999996</v>
      </c>
      <c r="Y232" s="382">
        <f t="shared" si="143"/>
        <v>49218.68</v>
      </c>
      <c r="Z232" s="578">
        <f t="shared" si="144"/>
        <v>47797.52</v>
      </c>
      <c r="AA232" s="11"/>
      <c r="AB232" s="11"/>
      <c r="AC232" s="11"/>
      <c r="AD232" s="11"/>
      <c r="AE232" s="11"/>
      <c r="AF232" s="11"/>
    </row>
    <row r="233" spans="1:32" ht="18.75">
      <c r="A233" s="80" t="s">
        <v>124</v>
      </c>
      <c r="B233" s="428">
        <f t="shared" si="131"/>
        <v>113855.52000000008</v>
      </c>
      <c r="C233" s="450">
        <v>14903.07</v>
      </c>
      <c r="D233" s="131">
        <v>12223.6</v>
      </c>
      <c r="E233" s="131"/>
      <c r="F233" s="428">
        <f t="shared" si="135"/>
        <v>116534.99000000008</v>
      </c>
      <c r="G233" s="285">
        <f t="shared" si="132"/>
        <v>0</v>
      </c>
      <c r="H233" s="604"/>
      <c r="I233" s="436">
        <v>0</v>
      </c>
      <c r="J233" s="285">
        <f t="shared" si="136"/>
        <v>0</v>
      </c>
      <c r="K233" s="437">
        <f t="shared" si="133"/>
        <v>0</v>
      </c>
      <c r="L233" s="1043"/>
      <c r="M233" s="257"/>
      <c r="N233" s="437">
        <f t="shared" si="137"/>
        <v>0</v>
      </c>
      <c r="O233" s="438">
        <f t="shared" si="134"/>
        <v>41.68000000000001</v>
      </c>
      <c r="P233" s="480">
        <v>0</v>
      </c>
      <c r="Q233" s="264"/>
      <c r="R233" s="633">
        <v>0</v>
      </c>
      <c r="S233" s="301">
        <f t="shared" si="138"/>
        <v>41.68000000000001</v>
      </c>
      <c r="T233" s="296">
        <f t="shared" si="139"/>
        <v>0</v>
      </c>
      <c r="U233" s="793">
        <f t="shared" si="140"/>
        <v>0</v>
      </c>
      <c r="V233" s="795">
        <f t="shared" si="145"/>
        <v>0</v>
      </c>
      <c r="W233" s="796">
        <f t="shared" si="141"/>
        <v>0</v>
      </c>
      <c r="X233" s="444">
        <f t="shared" si="142"/>
        <v>14903.07</v>
      </c>
      <c r="Y233" s="382">
        <f t="shared" si="143"/>
        <v>12223.6</v>
      </c>
      <c r="Z233" s="578">
        <f t="shared" si="144"/>
        <v>12223.6</v>
      </c>
      <c r="AA233" s="724"/>
      <c r="AB233" s="725"/>
      <c r="AC233" s="675"/>
      <c r="AD233" s="677"/>
      <c r="AE233" s="726"/>
      <c r="AF233" s="11"/>
    </row>
    <row r="234" spans="1:32" ht="18.75">
      <c r="A234" s="708" t="s">
        <v>188</v>
      </c>
      <c r="B234" s="428">
        <f t="shared" si="131"/>
        <v>16900.779999999933</v>
      </c>
      <c r="C234" s="702">
        <v>39551.25</v>
      </c>
      <c r="D234" s="702">
        <v>39301.62</v>
      </c>
      <c r="E234" s="450"/>
      <c r="F234" s="428">
        <f t="shared" si="135"/>
        <v>17150.40999999993</v>
      </c>
      <c r="G234" s="285">
        <f t="shared" si="132"/>
        <v>4405.89</v>
      </c>
      <c r="H234" s="604">
        <f>338.67+338.67</f>
        <v>677.34</v>
      </c>
      <c r="I234" s="436">
        <v>0</v>
      </c>
      <c r="J234" s="285">
        <f t="shared" si="136"/>
        <v>5083.2300000000005</v>
      </c>
      <c r="K234" s="437">
        <f t="shared" si="133"/>
        <v>-11829.499999999996</v>
      </c>
      <c r="L234" s="1072">
        <f>666.74+435.13+359.87</f>
        <v>1461.7399999999998</v>
      </c>
      <c r="M234" s="479">
        <v>1935.13</v>
      </c>
      <c r="N234" s="437">
        <f t="shared" si="137"/>
        <v>-12302.889999999996</v>
      </c>
      <c r="O234" s="438">
        <f t="shared" si="134"/>
        <v>-16548.33</v>
      </c>
      <c r="P234" s="633">
        <v>112.37</v>
      </c>
      <c r="Q234" s="480"/>
      <c r="R234" s="633">
        <f>93.4+5.87</f>
        <v>99.27000000000001</v>
      </c>
      <c r="S234" s="301">
        <f t="shared" si="138"/>
        <v>-16535.230000000003</v>
      </c>
      <c r="T234" s="296">
        <f t="shared" si="139"/>
        <v>99.27000000000001</v>
      </c>
      <c r="U234" s="793">
        <f t="shared" si="140"/>
        <v>1935.13</v>
      </c>
      <c r="V234" s="795">
        <f t="shared" si="145"/>
        <v>0</v>
      </c>
      <c r="W234" s="796">
        <f t="shared" si="141"/>
        <v>2034.4</v>
      </c>
      <c r="X234" s="444">
        <f t="shared" si="142"/>
        <v>41802.7</v>
      </c>
      <c r="Y234" s="382">
        <f t="shared" si="143"/>
        <v>41336.02</v>
      </c>
      <c r="Z234" s="578">
        <f t="shared" si="144"/>
        <v>39400.89</v>
      </c>
      <c r="AA234" s="724"/>
      <c r="AB234" s="725"/>
      <c r="AC234" s="675"/>
      <c r="AD234" s="677"/>
      <c r="AE234" s="726"/>
      <c r="AF234" s="11"/>
    </row>
    <row r="235" spans="1:32" ht="18.75">
      <c r="A235" s="709" t="s">
        <v>189</v>
      </c>
      <c r="B235" s="428">
        <f t="shared" si="131"/>
        <v>103137.29999999999</v>
      </c>
      <c r="C235" s="702">
        <v>45631.94</v>
      </c>
      <c r="D235" s="702">
        <v>54418.43</v>
      </c>
      <c r="E235" s="450"/>
      <c r="F235" s="428">
        <f t="shared" si="135"/>
        <v>94350.81</v>
      </c>
      <c r="G235" s="285">
        <f t="shared" si="132"/>
        <v>19206.14</v>
      </c>
      <c r="H235" s="604">
        <f>2162.4+2162.4</f>
        <v>4324.8</v>
      </c>
      <c r="I235" s="436">
        <v>0</v>
      </c>
      <c r="J235" s="285">
        <f t="shared" si="136"/>
        <v>23530.94</v>
      </c>
      <c r="K235" s="437">
        <f t="shared" si="133"/>
        <v>-16954.509999999995</v>
      </c>
      <c r="L235" s="1072">
        <v>701.19</v>
      </c>
      <c r="M235" s="481"/>
      <c r="N235" s="437">
        <f t="shared" si="137"/>
        <v>-16253.319999999994</v>
      </c>
      <c r="O235" s="438">
        <f t="shared" si="134"/>
        <v>-69306.31999999999</v>
      </c>
      <c r="P235" s="633">
        <v>144.87</v>
      </c>
      <c r="Q235" s="480"/>
      <c r="R235" s="633">
        <f>73.99+260.36</f>
        <v>334.35</v>
      </c>
      <c r="S235" s="301">
        <f t="shared" si="138"/>
        <v>-69495.8</v>
      </c>
      <c r="T235" s="296">
        <f t="shared" si="139"/>
        <v>334.35</v>
      </c>
      <c r="U235" s="793">
        <f t="shared" si="140"/>
        <v>0</v>
      </c>
      <c r="V235" s="795">
        <f t="shared" si="145"/>
        <v>0</v>
      </c>
      <c r="W235" s="796">
        <f t="shared" si="141"/>
        <v>334.35</v>
      </c>
      <c r="X235" s="444">
        <f t="shared" si="142"/>
        <v>50802.80000000001</v>
      </c>
      <c r="Y235" s="382">
        <f t="shared" si="143"/>
        <v>54752.78</v>
      </c>
      <c r="Z235" s="578">
        <f t="shared" si="144"/>
        <v>54752.78</v>
      </c>
      <c r="AA235" s="724"/>
      <c r="AB235" s="725"/>
      <c r="AC235" s="675"/>
      <c r="AD235" s="677"/>
      <c r="AE235" s="726"/>
      <c r="AF235" s="11"/>
    </row>
    <row r="236" spans="1:32" ht="18.75">
      <c r="A236" s="709" t="s">
        <v>251</v>
      </c>
      <c r="B236" s="428">
        <f t="shared" si="131"/>
        <v>113306.27</v>
      </c>
      <c r="C236" s="702">
        <v>42325.8</v>
      </c>
      <c r="D236" s="702">
        <v>41393.04</v>
      </c>
      <c r="E236" s="450"/>
      <c r="F236" s="428">
        <f t="shared" si="135"/>
        <v>114239.03</v>
      </c>
      <c r="G236" s="285">
        <f t="shared" si="132"/>
        <v>0</v>
      </c>
      <c r="H236" s="604"/>
      <c r="I236" s="436">
        <v>0</v>
      </c>
      <c r="J236" s="285">
        <f t="shared" si="136"/>
        <v>0</v>
      </c>
      <c r="K236" s="437">
        <f t="shared" si="133"/>
        <v>-62303.45</v>
      </c>
      <c r="L236" s="1072">
        <v>642.36</v>
      </c>
      <c r="M236" s="481">
        <v>642.36</v>
      </c>
      <c r="N236" s="437">
        <f t="shared" si="137"/>
        <v>-62303.45</v>
      </c>
      <c r="O236" s="438">
        <f t="shared" si="134"/>
        <v>-73483.11000000002</v>
      </c>
      <c r="P236" s="633">
        <v>75.03</v>
      </c>
      <c r="Q236" s="480"/>
      <c r="R236" s="633">
        <v>66.67</v>
      </c>
      <c r="S236" s="301">
        <f t="shared" si="138"/>
        <v>-73474.75000000001</v>
      </c>
      <c r="T236" s="296">
        <f t="shared" si="139"/>
        <v>66.67</v>
      </c>
      <c r="U236" s="793">
        <f t="shared" si="140"/>
        <v>642.36</v>
      </c>
      <c r="V236" s="795">
        <f t="shared" si="145"/>
        <v>0</v>
      </c>
      <c r="W236" s="796">
        <f t="shared" si="141"/>
        <v>709.03</v>
      </c>
      <c r="X236" s="444">
        <f t="shared" si="142"/>
        <v>43043.19</v>
      </c>
      <c r="Y236" s="382">
        <f t="shared" si="143"/>
        <v>42102.07</v>
      </c>
      <c r="Z236" s="578">
        <f t="shared" si="144"/>
        <v>41459.71</v>
      </c>
      <c r="AA236" s="724"/>
      <c r="AB236" s="725"/>
      <c r="AC236" s="675"/>
      <c r="AD236" s="677"/>
      <c r="AE236" s="726"/>
      <c r="AF236" s="11"/>
    </row>
    <row r="237" spans="1:32" ht="18.75">
      <c r="A237" s="709" t="s">
        <v>254</v>
      </c>
      <c r="B237" s="428">
        <f t="shared" si="131"/>
        <v>112007.94000000002</v>
      </c>
      <c r="C237" s="702">
        <v>15747.89</v>
      </c>
      <c r="D237" s="702">
        <v>37258.47</v>
      </c>
      <c r="E237" s="450"/>
      <c r="F237" s="428">
        <f t="shared" si="135"/>
        <v>90497.36000000002</v>
      </c>
      <c r="G237" s="285">
        <f t="shared" si="132"/>
        <v>0</v>
      </c>
      <c r="H237" s="604"/>
      <c r="I237" s="436">
        <v>0</v>
      </c>
      <c r="J237" s="285">
        <f t="shared" si="136"/>
        <v>0</v>
      </c>
      <c r="K237" s="437">
        <f t="shared" si="133"/>
        <v>0</v>
      </c>
      <c r="L237" s="1043">
        <v>0</v>
      </c>
      <c r="M237" s="481"/>
      <c r="N237" s="437">
        <f t="shared" si="137"/>
        <v>0</v>
      </c>
      <c r="O237" s="438">
        <f t="shared" si="134"/>
        <v>13823.009999999998</v>
      </c>
      <c r="P237" s="633">
        <v>573.36</v>
      </c>
      <c r="Q237" s="480"/>
      <c r="R237" s="633">
        <f>557.71+2460.24</f>
        <v>3017.95</v>
      </c>
      <c r="S237" s="301">
        <f t="shared" si="138"/>
        <v>11378.419999999998</v>
      </c>
      <c r="T237" s="296">
        <f t="shared" si="139"/>
        <v>3017.95</v>
      </c>
      <c r="U237" s="793">
        <f t="shared" si="140"/>
        <v>0</v>
      </c>
      <c r="V237" s="795">
        <f t="shared" si="145"/>
        <v>0</v>
      </c>
      <c r="W237" s="796">
        <f t="shared" si="141"/>
        <v>3017.95</v>
      </c>
      <c r="X237" s="444">
        <f t="shared" si="142"/>
        <v>16321.25</v>
      </c>
      <c r="Y237" s="382">
        <f t="shared" si="143"/>
        <v>40276.42</v>
      </c>
      <c r="Z237" s="578">
        <f t="shared" si="144"/>
        <v>40276.42</v>
      </c>
      <c r="AA237" s="724"/>
      <c r="AB237" s="725"/>
      <c r="AC237" s="675"/>
      <c r="AD237" s="677"/>
      <c r="AE237" s="726"/>
      <c r="AF237" s="11"/>
    </row>
    <row r="238" spans="1:32" ht="18.75">
      <c r="A238" s="709" t="s">
        <v>302</v>
      </c>
      <c r="B238" s="428">
        <v>0</v>
      </c>
      <c r="C238" s="702">
        <v>55534.46</v>
      </c>
      <c r="D238" s="702">
        <v>8623.19</v>
      </c>
      <c r="E238" s="450"/>
      <c r="F238" s="428">
        <f t="shared" si="135"/>
        <v>46911.27</v>
      </c>
      <c r="G238" s="285">
        <v>0</v>
      </c>
      <c r="H238" s="1038"/>
      <c r="I238" s="436">
        <v>0</v>
      </c>
      <c r="J238" s="285">
        <f t="shared" si="136"/>
        <v>0</v>
      </c>
      <c r="K238" s="437">
        <v>0</v>
      </c>
      <c r="L238" s="692">
        <v>28972.6</v>
      </c>
      <c r="M238" s="481"/>
      <c r="N238" s="437">
        <f t="shared" si="137"/>
        <v>28972.6</v>
      </c>
      <c r="O238" s="438">
        <v>0</v>
      </c>
      <c r="P238" s="633"/>
      <c r="Q238" s="480"/>
      <c r="R238" s="633"/>
      <c r="S238" s="301">
        <f t="shared" si="138"/>
        <v>0</v>
      </c>
      <c r="T238" s="296">
        <f t="shared" si="139"/>
        <v>0</v>
      </c>
      <c r="U238" s="793">
        <f t="shared" si="140"/>
        <v>0</v>
      </c>
      <c r="V238" s="795">
        <f t="shared" si="145"/>
        <v>0</v>
      </c>
      <c r="W238" s="796">
        <f t="shared" si="141"/>
        <v>0</v>
      </c>
      <c r="X238" s="444">
        <f t="shared" si="142"/>
        <v>84507.06</v>
      </c>
      <c r="Y238" s="382">
        <f t="shared" si="143"/>
        <v>8623.19</v>
      </c>
      <c r="Z238" s="578">
        <f t="shared" si="144"/>
        <v>8623.19</v>
      </c>
      <c r="AA238" s="724"/>
      <c r="AB238" s="725"/>
      <c r="AC238" s="675"/>
      <c r="AD238" s="677"/>
      <c r="AE238" s="726"/>
      <c r="AF238" s="11"/>
    </row>
    <row r="239" spans="1:32" ht="18.75">
      <c r="A239" s="713" t="s">
        <v>127</v>
      </c>
      <c r="B239" s="714">
        <f>SUM(B213:B235)</f>
        <v>1587716.3300000017</v>
      </c>
      <c r="C239" s="715">
        <f>SUM(C213:C238)</f>
        <v>892383.4600000001</v>
      </c>
      <c r="D239" s="715">
        <f>SUM(D213:D238)</f>
        <v>861719.2600000001</v>
      </c>
      <c r="E239" s="516"/>
      <c r="F239" s="716">
        <f>SUM(F213:F235)</f>
        <v>1592047.0800000017</v>
      </c>
      <c r="G239" s="516">
        <f>SUM(G213:G235)</f>
        <v>179065.51</v>
      </c>
      <c r="H239" s="722">
        <f>SUM(H213:H235)</f>
        <v>20194.64</v>
      </c>
      <c r="I239" s="717">
        <v>0</v>
      </c>
      <c r="J239" s="716">
        <f>G239+H239-I239</f>
        <v>199260.15000000002</v>
      </c>
      <c r="K239" s="716">
        <f aca="true" t="shared" si="146" ref="K239:P239">SUM(K213:K238)</f>
        <v>-83299.56999999998</v>
      </c>
      <c r="L239" s="719">
        <f t="shared" si="146"/>
        <v>52676.78999999999</v>
      </c>
      <c r="M239" s="720">
        <f t="shared" si="146"/>
        <v>17658.87</v>
      </c>
      <c r="N239" s="516">
        <f t="shared" si="146"/>
        <v>-48281.64999999997</v>
      </c>
      <c r="O239" s="516">
        <f t="shared" si="146"/>
        <v>-149680.82</v>
      </c>
      <c r="P239" s="598">
        <f t="shared" si="146"/>
        <v>2437.64</v>
      </c>
      <c r="Q239" s="516"/>
      <c r="R239" s="598">
        <f>SUM(R213:R238)</f>
        <v>5038.87</v>
      </c>
      <c r="S239" s="516"/>
      <c r="T239" s="728">
        <f>SUM(T213:T238)</f>
        <v>5038.87</v>
      </c>
      <c r="U239" s="729">
        <f>SUM(U213:U238)</f>
        <v>17658.87</v>
      </c>
      <c r="V239" s="718">
        <v>0</v>
      </c>
      <c r="W239" s="727">
        <f>SUM(W213:W238)</f>
        <v>22697.739999999994</v>
      </c>
      <c r="X239" s="718">
        <f>SUM(X213:X238)</f>
        <v>967692.53</v>
      </c>
      <c r="Y239" s="718">
        <f>SUM(Y213:Y238)</f>
        <v>884417</v>
      </c>
      <c r="Z239" s="723">
        <f>SUM(Z213:Z238)</f>
        <v>866758.1299999999</v>
      </c>
      <c r="AA239" s="724"/>
      <c r="AB239" s="725"/>
      <c r="AC239" s="675"/>
      <c r="AD239" s="677"/>
      <c r="AE239" s="726"/>
      <c r="AF239" s="11"/>
    </row>
    <row r="240" spans="1:32" s="667" customFormat="1" ht="18.75">
      <c r="A240" s="867"/>
      <c r="B240" s="929"/>
      <c r="C240" s="858"/>
      <c r="D240" s="858"/>
      <c r="E240" s="677"/>
      <c r="F240" s="930"/>
      <c r="G240" s="677"/>
      <c r="H240" s="932"/>
      <c r="I240" s="933"/>
      <c r="J240" s="930">
        <f>SUM(J213:J238)</f>
        <v>199260.14999999997</v>
      </c>
      <c r="K240" s="930"/>
      <c r="L240" s="934"/>
      <c r="M240" s="935"/>
      <c r="N240" s="677"/>
      <c r="O240" s="677"/>
      <c r="P240" s="936"/>
      <c r="Q240" s="677"/>
      <c r="R240" s="936"/>
      <c r="S240" s="677"/>
      <c r="T240" s="937"/>
      <c r="U240" s="938"/>
      <c r="V240" s="724">
        <f>SUM(V213:V239)</f>
        <v>0</v>
      </c>
      <c r="W240" s="939"/>
      <c r="X240" s="724"/>
      <c r="Y240" s="724"/>
      <c r="Z240" s="724"/>
      <c r="AA240" s="724"/>
      <c r="AB240" s="725"/>
      <c r="AC240" s="675"/>
      <c r="AD240" s="677"/>
      <c r="AE240" s="726"/>
      <c r="AF240" s="550"/>
    </row>
    <row r="241" spans="1:31" ht="18.75">
      <c r="A241" s="68"/>
      <c r="B241" s="69" t="s">
        <v>136</v>
      </c>
      <c r="C241" s="69"/>
      <c r="D241" s="69"/>
      <c r="E241" s="69"/>
      <c r="F241" s="68"/>
      <c r="G241" s="5"/>
      <c r="H241" s="4"/>
      <c r="I241" s="5"/>
      <c r="J241" s="240" t="s">
        <v>61</v>
      </c>
      <c r="K241" s="6"/>
      <c r="L241" s="475"/>
      <c r="M241" s="710"/>
      <c r="O241" s="2"/>
      <c r="R241" s="68"/>
      <c r="S241" s="240" t="s">
        <v>61</v>
      </c>
      <c r="AB241" s="1677"/>
      <c r="AC241" s="1677"/>
      <c r="AD241" s="1677"/>
      <c r="AE241" s="11"/>
    </row>
    <row r="242" spans="1:31" ht="23.25">
      <c r="A242" s="409" t="s">
        <v>131</v>
      </c>
      <c r="B242" s="1670" t="s">
        <v>205</v>
      </c>
      <c r="C242" s="1585" t="s">
        <v>2</v>
      </c>
      <c r="D242" s="1586"/>
      <c r="E242" s="1586"/>
      <c r="F242" s="1591"/>
      <c r="G242" s="85" t="s">
        <v>27</v>
      </c>
      <c r="H242" s="1594" t="s">
        <v>3</v>
      </c>
      <c r="I242" s="1595"/>
      <c r="J242" s="1596"/>
      <c r="K242" s="88" t="s">
        <v>27</v>
      </c>
      <c r="L242" s="1612" t="s">
        <v>4</v>
      </c>
      <c r="M242" s="1612"/>
      <c r="N242" s="1612"/>
      <c r="O242" s="84" t="s">
        <v>27</v>
      </c>
      <c r="P242" s="1613" t="s">
        <v>23</v>
      </c>
      <c r="Q242" s="1613"/>
      <c r="R242" s="1613"/>
      <c r="S242" s="1613"/>
      <c r="T242" s="1576" t="s">
        <v>314</v>
      </c>
      <c r="U242" s="1577"/>
      <c r="V242" s="1577"/>
      <c r="W242" s="1578"/>
      <c r="AB242" s="1588"/>
      <c r="AC242" s="1589"/>
      <c r="AD242" s="1590"/>
      <c r="AE242" s="11"/>
    </row>
    <row r="243" spans="1:31" ht="69" customHeight="1">
      <c r="A243" s="416" t="s">
        <v>1</v>
      </c>
      <c r="B243" s="1671"/>
      <c r="C243" s="81" t="s">
        <v>5</v>
      </c>
      <c r="D243" s="81" t="s">
        <v>6</v>
      </c>
      <c r="E243" s="81" t="s">
        <v>65</v>
      </c>
      <c r="F243" s="81" t="s">
        <v>312</v>
      </c>
      <c r="G243" s="86" t="s">
        <v>205</v>
      </c>
      <c r="H243" s="87" t="s">
        <v>5</v>
      </c>
      <c r="I243" s="87" t="s">
        <v>6</v>
      </c>
      <c r="J243" s="86" t="s">
        <v>313</v>
      </c>
      <c r="K243" s="115" t="s">
        <v>205</v>
      </c>
      <c r="L243" s="115" t="s">
        <v>5</v>
      </c>
      <c r="M243" s="115" t="s">
        <v>6</v>
      </c>
      <c r="N243" s="115" t="s">
        <v>206</v>
      </c>
      <c r="O243" s="116" t="s">
        <v>205</v>
      </c>
      <c r="P243" s="116" t="s">
        <v>5</v>
      </c>
      <c r="Q243" s="116" t="s">
        <v>64</v>
      </c>
      <c r="R243" s="116" t="s">
        <v>6</v>
      </c>
      <c r="S243" s="116" t="s">
        <v>206</v>
      </c>
      <c r="T243" s="71" t="s">
        <v>94</v>
      </c>
      <c r="U243" s="71" t="s">
        <v>69</v>
      </c>
      <c r="V243" s="71" t="s">
        <v>95</v>
      </c>
      <c r="W243" s="71" t="s">
        <v>158</v>
      </c>
      <c r="X243" s="269" t="s">
        <v>106</v>
      </c>
      <c r="Y243" s="269" t="s">
        <v>107</v>
      </c>
      <c r="Z243" s="593" t="s">
        <v>159</v>
      </c>
      <c r="AB243" s="8" t="s">
        <v>204</v>
      </c>
      <c r="AC243" s="8" t="s">
        <v>203</v>
      </c>
      <c r="AD243" s="41"/>
      <c r="AE243" s="11"/>
    </row>
    <row r="244" spans="1:31" ht="17.25" customHeight="1">
      <c r="A244" s="73" t="s">
        <v>47</v>
      </c>
      <c r="B244" s="74">
        <f aca="true" t="shared" si="147" ref="B244:B263">F213</f>
        <v>120633.47999999992</v>
      </c>
      <c r="C244" s="246">
        <v>13336.39</v>
      </c>
      <c r="D244" s="246">
        <v>14996.5</v>
      </c>
      <c r="E244" s="72"/>
      <c r="F244" s="74">
        <f>B244+C244-D244</f>
        <v>118973.36999999994</v>
      </c>
      <c r="G244" s="258">
        <f aca="true" t="shared" si="148" ref="G244:G269">J213</f>
        <v>28108.54999999998</v>
      </c>
      <c r="H244" s="1077">
        <v>1334.01</v>
      </c>
      <c r="I244" s="260">
        <v>0</v>
      </c>
      <c r="J244" s="258">
        <f>G244+H244-I244</f>
        <v>29442.55999999998</v>
      </c>
      <c r="K244" s="78">
        <f aca="true" t="shared" si="149" ref="K244:K269">N213</f>
        <v>-1093.3899999999994</v>
      </c>
      <c r="L244" s="799">
        <v>4271.8</v>
      </c>
      <c r="M244" s="588">
        <v>8543.6</v>
      </c>
      <c r="N244" s="108">
        <f>K244+L244-M244</f>
        <v>-5365.19</v>
      </c>
      <c r="O244" s="261">
        <f aca="true" t="shared" si="150" ref="O244:O269">S213</f>
        <v>-1338.1200000000003</v>
      </c>
      <c r="P244" s="266">
        <v>165.61</v>
      </c>
      <c r="Q244" s="265"/>
      <c r="R244" s="266">
        <v>235.95</v>
      </c>
      <c r="S244" s="263">
        <f>O244+P244-R244</f>
        <v>-1408.4600000000003</v>
      </c>
      <c r="T244" s="588">
        <f>R244</f>
        <v>235.95</v>
      </c>
      <c r="U244" s="588">
        <f>M244</f>
        <v>8543.6</v>
      </c>
      <c r="V244" s="589">
        <f>I244</f>
        <v>0</v>
      </c>
      <c r="W244" s="590">
        <f>T244+U244+V244</f>
        <v>8779.550000000001</v>
      </c>
      <c r="X244" s="271">
        <f>C244+H244+L244+P244</f>
        <v>19107.81</v>
      </c>
      <c r="Y244" s="272">
        <f>D244+I244+M244+R244</f>
        <v>23776.05</v>
      </c>
      <c r="Z244" s="578">
        <f>D244+R244</f>
        <v>15232.45</v>
      </c>
      <c r="AB244" s="8">
        <f>AC183+X213+X244</f>
        <v>58579.990000000005</v>
      </c>
      <c r="AC244" s="8">
        <f aca="true" t="shared" si="151" ref="AC244:AC267">Z244+Z213+AE183+AB183</f>
        <v>53833.93</v>
      </c>
      <c r="AD244" s="41"/>
      <c r="AE244" s="11"/>
    </row>
    <row r="245" spans="1:31" ht="21.75" customHeight="1">
      <c r="A245" s="73" t="s">
        <v>53</v>
      </c>
      <c r="B245" s="74">
        <f t="shared" si="147"/>
        <v>119965.0000000002</v>
      </c>
      <c r="C245" s="246">
        <v>29755.06</v>
      </c>
      <c r="D245" s="246">
        <v>31560.47</v>
      </c>
      <c r="E245" s="72"/>
      <c r="F245" s="74">
        <f aca="true" t="shared" si="152" ref="F245:F269">B245+C245-D245</f>
        <v>118159.5900000002</v>
      </c>
      <c r="G245" s="258">
        <f t="shared" si="148"/>
        <v>2165.34</v>
      </c>
      <c r="H245" s="1077">
        <v>258.4</v>
      </c>
      <c r="I245" s="260">
        <v>0</v>
      </c>
      <c r="J245" s="258">
        <f aca="true" t="shared" si="153" ref="J245:J269">G245+H245-I245</f>
        <v>2423.7400000000002</v>
      </c>
      <c r="K245" s="78">
        <f t="shared" si="149"/>
        <v>-2898.7199999999984</v>
      </c>
      <c r="L245" s="799">
        <v>120.78</v>
      </c>
      <c r="M245" s="588">
        <v>724.68</v>
      </c>
      <c r="N245" s="108">
        <f aca="true" t="shared" si="154" ref="N245:N269">K245+L245-M245</f>
        <v>-3502.619999999998</v>
      </c>
      <c r="O245" s="261">
        <f t="shared" si="150"/>
        <v>-833.5400000000002</v>
      </c>
      <c r="P245" s="266">
        <v>155.52</v>
      </c>
      <c r="Q245" s="265"/>
      <c r="R245" s="266">
        <v>0</v>
      </c>
      <c r="S245" s="263">
        <f aca="true" t="shared" si="155" ref="S245:S269">O245+P245-R245</f>
        <v>-678.0200000000002</v>
      </c>
      <c r="T245" s="588">
        <f aca="true" t="shared" si="156" ref="T245:T269">R245</f>
        <v>0</v>
      </c>
      <c r="U245" s="588">
        <f aca="true" t="shared" si="157" ref="U245:U269">M245</f>
        <v>724.68</v>
      </c>
      <c r="V245" s="589">
        <f>I245</f>
        <v>0</v>
      </c>
      <c r="W245" s="590">
        <f aca="true" t="shared" si="158" ref="W245:W269">T245+U245+V245</f>
        <v>724.68</v>
      </c>
      <c r="X245" s="271">
        <f aca="true" t="shared" si="159" ref="X245:X269">C245+H245+L245+P245</f>
        <v>30289.760000000002</v>
      </c>
      <c r="Y245" s="272">
        <f aca="true" t="shared" si="160" ref="Y245:Y269">D245+I245+M245+R245</f>
        <v>32285.15</v>
      </c>
      <c r="Z245" s="578">
        <f aca="true" t="shared" si="161" ref="Z245:Z270">D245+R245</f>
        <v>31560.47</v>
      </c>
      <c r="AB245" s="8">
        <f aca="true" t="shared" si="162" ref="AB245:AB267">AC184+X214+X245</f>
        <v>91008.33</v>
      </c>
      <c r="AC245" s="8">
        <f t="shared" si="151"/>
        <v>89143.16</v>
      </c>
      <c r="AD245" s="41"/>
      <c r="AE245" s="11"/>
    </row>
    <row r="246" spans="1:31" ht="18.75">
      <c r="A246" s="73" t="s">
        <v>8</v>
      </c>
      <c r="B246" s="74">
        <f t="shared" si="147"/>
        <v>74445.62</v>
      </c>
      <c r="C246" s="74"/>
      <c r="D246" s="74"/>
      <c r="E246" s="74"/>
      <c r="F246" s="74">
        <f t="shared" si="152"/>
        <v>74445.62</v>
      </c>
      <c r="G246" s="258">
        <f t="shared" si="148"/>
        <v>0</v>
      </c>
      <c r="H246" s="602"/>
      <c r="I246" s="260">
        <v>0</v>
      </c>
      <c r="J246" s="258">
        <f t="shared" si="153"/>
        <v>0</v>
      </c>
      <c r="K246" s="78">
        <f t="shared" si="149"/>
        <v>0</v>
      </c>
      <c r="L246" s="1069"/>
      <c r="M246" s="108"/>
      <c r="N246" s="108">
        <f t="shared" si="154"/>
        <v>0</v>
      </c>
      <c r="O246" s="261">
        <f t="shared" si="150"/>
        <v>0</v>
      </c>
      <c r="P246" s="263"/>
      <c r="Q246" s="263"/>
      <c r="R246" s="267"/>
      <c r="S246" s="263">
        <f t="shared" si="155"/>
        <v>0</v>
      </c>
      <c r="T246" s="588">
        <f t="shared" si="156"/>
        <v>0</v>
      </c>
      <c r="U246" s="588">
        <f t="shared" si="157"/>
        <v>0</v>
      </c>
      <c r="V246" s="589">
        <f>I246</f>
        <v>0</v>
      </c>
      <c r="W246" s="590">
        <f t="shared" si="158"/>
        <v>0</v>
      </c>
      <c r="X246" s="271">
        <f t="shared" si="159"/>
        <v>0</v>
      </c>
      <c r="Y246" s="272">
        <f t="shared" si="160"/>
        <v>0</v>
      </c>
      <c r="Z246" s="578">
        <f t="shared" si="161"/>
        <v>0</v>
      </c>
      <c r="AB246" s="8">
        <f t="shared" si="162"/>
        <v>0</v>
      </c>
      <c r="AC246" s="8">
        <f t="shared" si="151"/>
        <v>0</v>
      </c>
      <c r="AD246" s="41"/>
      <c r="AE246" s="11"/>
    </row>
    <row r="247" spans="1:31" ht="18.75">
      <c r="A247" s="73" t="s">
        <v>48</v>
      </c>
      <c r="B247" s="74">
        <f t="shared" si="147"/>
        <v>356755.1400000002</v>
      </c>
      <c r="C247" s="74">
        <v>72292</v>
      </c>
      <c r="D247" s="74">
        <v>65232.82</v>
      </c>
      <c r="E247" s="74"/>
      <c r="F247" s="74">
        <f t="shared" si="152"/>
        <v>363814.3200000002</v>
      </c>
      <c r="G247" s="258">
        <f t="shared" si="148"/>
        <v>33452.009999999995</v>
      </c>
      <c r="H247" s="1076">
        <v>1241.79</v>
      </c>
      <c r="I247" s="260">
        <v>0</v>
      </c>
      <c r="J247" s="258">
        <f t="shared" si="153"/>
        <v>34693.799999999996</v>
      </c>
      <c r="K247" s="78">
        <f t="shared" si="149"/>
        <v>-1093.4599999999982</v>
      </c>
      <c r="L247" s="799">
        <f>1653.07+242.74</f>
        <v>1895.81</v>
      </c>
      <c r="M247" s="144">
        <v>559.68</v>
      </c>
      <c r="N247" s="108">
        <f t="shared" si="154"/>
        <v>242.67000000000178</v>
      </c>
      <c r="O247" s="261">
        <f t="shared" si="150"/>
        <v>-2144.819999999999</v>
      </c>
      <c r="P247" s="263">
        <v>204.76</v>
      </c>
      <c r="Q247" s="263"/>
      <c r="R247" s="263">
        <v>217.63</v>
      </c>
      <c r="S247" s="263">
        <f t="shared" si="155"/>
        <v>-2157.6899999999987</v>
      </c>
      <c r="T247" s="588">
        <f t="shared" si="156"/>
        <v>217.63</v>
      </c>
      <c r="U247" s="588">
        <f t="shared" si="157"/>
        <v>559.68</v>
      </c>
      <c r="V247" s="589">
        <f aca="true" t="shared" si="163" ref="V247:V269">I247</f>
        <v>0</v>
      </c>
      <c r="W247" s="590">
        <f t="shared" si="158"/>
        <v>777.31</v>
      </c>
      <c r="X247" s="271">
        <f t="shared" si="159"/>
        <v>75634.35999999999</v>
      </c>
      <c r="Y247" s="272">
        <f t="shared" si="160"/>
        <v>66010.13</v>
      </c>
      <c r="Z247" s="578">
        <f t="shared" si="161"/>
        <v>65450.45</v>
      </c>
      <c r="AB247" s="8">
        <f t="shared" si="162"/>
        <v>226142.55999999997</v>
      </c>
      <c r="AC247" s="8">
        <f t="shared" si="151"/>
        <v>207710.59000000003</v>
      </c>
      <c r="AD247" s="41"/>
      <c r="AE247" s="11"/>
    </row>
    <row r="248" spans="1:31" ht="18.75">
      <c r="A248" s="73" t="s">
        <v>9</v>
      </c>
      <c r="B248" s="74">
        <f t="shared" si="147"/>
        <v>118308.4600000001</v>
      </c>
      <c r="C248" s="74">
        <v>17857.29</v>
      </c>
      <c r="D248" s="74">
        <v>14774.57</v>
      </c>
      <c r="E248" s="74"/>
      <c r="F248" s="74">
        <f t="shared" si="152"/>
        <v>121391.18000000008</v>
      </c>
      <c r="G248" s="258">
        <f t="shared" si="148"/>
        <v>40720.96</v>
      </c>
      <c r="H248" s="1076">
        <f>1527.99+99.64</f>
        <v>1627.63</v>
      </c>
      <c r="I248" s="260">
        <v>0</v>
      </c>
      <c r="J248" s="258">
        <f t="shared" si="153"/>
        <v>42348.59</v>
      </c>
      <c r="K248" s="78">
        <f t="shared" si="149"/>
        <v>0</v>
      </c>
      <c r="L248" s="1069"/>
      <c r="M248" s="108"/>
      <c r="N248" s="108">
        <f t="shared" si="154"/>
        <v>0</v>
      </c>
      <c r="O248" s="261">
        <f t="shared" si="150"/>
        <v>335.61999999999995</v>
      </c>
      <c r="P248" s="263">
        <v>11.67</v>
      </c>
      <c r="Q248" s="263"/>
      <c r="R248" s="263">
        <v>7.16</v>
      </c>
      <c r="S248" s="263">
        <f t="shared" si="155"/>
        <v>340.12999999999994</v>
      </c>
      <c r="T248" s="588">
        <f t="shared" si="156"/>
        <v>7.16</v>
      </c>
      <c r="U248" s="798">
        <f t="shared" si="157"/>
        <v>0</v>
      </c>
      <c r="V248" s="589">
        <f t="shared" si="163"/>
        <v>0</v>
      </c>
      <c r="W248" s="590">
        <f t="shared" si="158"/>
        <v>7.16</v>
      </c>
      <c r="X248" s="271">
        <f t="shared" si="159"/>
        <v>19496.59</v>
      </c>
      <c r="Y248" s="272">
        <f t="shared" si="160"/>
        <v>14781.73</v>
      </c>
      <c r="Z248" s="578">
        <f t="shared" si="161"/>
        <v>14781.73</v>
      </c>
      <c r="AB248" s="8">
        <f t="shared" si="162"/>
        <v>60239.119999999995</v>
      </c>
      <c r="AC248" s="8">
        <f t="shared" si="151"/>
        <v>52811.759999999995</v>
      </c>
      <c r="AD248" s="41"/>
      <c r="AE248" s="11"/>
    </row>
    <row r="249" spans="1:31" ht="18.75">
      <c r="A249" s="73" t="s">
        <v>10</v>
      </c>
      <c r="B249" s="74">
        <f t="shared" si="147"/>
        <v>7675.270000000086</v>
      </c>
      <c r="C249" s="74">
        <v>7795.77</v>
      </c>
      <c r="D249" s="74">
        <v>8168.7</v>
      </c>
      <c r="E249" s="74"/>
      <c r="F249" s="74">
        <f t="shared" si="152"/>
        <v>7302.340000000087</v>
      </c>
      <c r="G249" s="258">
        <f t="shared" si="148"/>
        <v>0</v>
      </c>
      <c r="H249" s="602"/>
      <c r="I249" s="260">
        <v>0</v>
      </c>
      <c r="J249" s="258">
        <f t="shared" si="153"/>
        <v>0</v>
      </c>
      <c r="K249" s="78">
        <f t="shared" si="149"/>
        <v>0</v>
      </c>
      <c r="L249" s="1040"/>
      <c r="M249" s="108"/>
      <c r="N249" s="108">
        <f t="shared" si="154"/>
        <v>0</v>
      </c>
      <c r="O249" s="261">
        <f t="shared" si="150"/>
        <v>7.259999999999977</v>
      </c>
      <c r="P249" s="263">
        <v>5.82</v>
      </c>
      <c r="Q249" s="263"/>
      <c r="R249" s="263">
        <v>3.67</v>
      </c>
      <c r="S249" s="263">
        <f t="shared" si="155"/>
        <v>9.409999999999977</v>
      </c>
      <c r="T249" s="588">
        <f t="shared" si="156"/>
        <v>3.67</v>
      </c>
      <c r="U249" s="588">
        <f t="shared" si="157"/>
        <v>0</v>
      </c>
      <c r="V249" s="589">
        <f t="shared" si="163"/>
        <v>0</v>
      </c>
      <c r="W249" s="590">
        <f t="shared" si="158"/>
        <v>3.67</v>
      </c>
      <c r="X249" s="271">
        <f t="shared" si="159"/>
        <v>7801.59</v>
      </c>
      <c r="Y249" s="272">
        <f t="shared" si="160"/>
        <v>8172.37</v>
      </c>
      <c r="Z249" s="578">
        <f t="shared" si="161"/>
        <v>8172.37</v>
      </c>
      <c r="AB249" s="8">
        <f t="shared" si="162"/>
        <v>23535.14</v>
      </c>
      <c r="AC249" s="8">
        <f t="shared" si="151"/>
        <v>27580.050000000003</v>
      </c>
      <c r="AD249" s="41"/>
      <c r="AE249" s="11"/>
    </row>
    <row r="250" spans="1:31" ht="18.75">
      <c r="A250" s="73" t="s">
        <v>11</v>
      </c>
      <c r="B250" s="74">
        <f t="shared" si="147"/>
        <v>8255.670000000038</v>
      </c>
      <c r="C250" s="74">
        <v>7768.21</v>
      </c>
      <c r="D250" s="74">
        <v>8303.85</v>
      </c>
      <c r="E250" s="74"/>
      <c r="F250" s="74">
        <f t="shared" si="152"/>
        <v>7720.030000000037</v>
      </c>
      <c r="G250" s="258">
        <f t="shared" si="148"/>
        <v>0</v>
      </c>
      <c r="H250" s="602"/>
      <c r="I250" s="260">
        <v>0</v>
      </c>
      <c r="J250" s="258">
        <f t="shared" si="153"/>
        <v>0</v>
      </c>
      <c r="K250" s="78">
        <f t="shared" si="149"/>
        <v>0</v>
      </c>
      <c r="L250" s="1040"/>
      <c r="M250" s="108"/>
      <c r="N250" s="108">
        <f t="shared" si="154"/>
        <v>0</v>
      </c>
      <c r="O250" s="261">
        <f t="shared" si="150"/>
        <v>41.42</v>
      </c>
      <c r="P250" s="263">
        <v>3.64</v>
      </c>
      <c r="Q250" s="263"/>
      <c r="R250" s="263">
        <v>3.64</v>
      </c>
      <c r="S250" s="263">
        <f t="shared" si="155"/>
        <v>41.42</v>
      </c>
      <c r="T250" s="588">
        <f t="shared" si="156"/>
        <v>3.64</v>
      </c>
      <c r="U250" s="588">
        <f t="shared" si="157"/>
        <v>0</v>
      </c>
      <c r="V250" s="589">
        <f t="shared" si="163"/>
        <v>0</v>
      </c>
      <c r="W250" s="590">
        <f t="shared" si="158"/>
        <v>3.64</v>
      </c>
      <c r="X250" s="271">
        <f t="shared" si="159"/>
        <v>7771.85</v>
      </c>
      <c r="Y250" s="272">
        <f t="shared" si="160"/>
        <v>8307.49</v>
      </c>
      <c r="Z250" s="578">
        <f t="shared" si="161"/>
        <v>8307.49</v>
      </c>
      <c r="AB250" s="8">
        <f t="shared" si="162"/>
        <v>23352.43</v>
      </c>
      <c r="AC250" s="8">
        <f t="shared" si="151"/>
        <v>24888</v>
      </c>
      <c r="AD250" s="41"/>
      <c r="AE250" s="11"/>
    </row>
    <row r="251" spans="1:31" ht="18.75">
      <c r="A251" s="73" t="s">
        <v>12</v>
      </c>
      <c r="B251" s="74">
        <f t="shared" si="147"/>
        <v>88129.89000000025</v>
      </c>
      <c r="C251" s="74">
        <v>44465.15</v>
      </c>
      <c r="D251" s="74">
        <v>43945.03</v>
      </c>
      <c r="E251" s="74"/>
      <c r="F251" s="74">
        <f t="shared" si="152"/>
        <v>88650.01000000024</v>
      </c>
      <c r="G251" s="258">
        <f t="shared" si="148"/>
        <v>10862.879999999997</v>
      </c>
      <c r="H251" s="1076">
        <v>517.28</v>
      </c>
      <c r="I251" s="260">
        <v>0</v>
      </c>
      <c r="J251" s="258">
        <f t="shared" si="153"/>
        <v>11380.159999999998</v>
      </c>
      <c r="K251" s="78">
        <f t="shared" si="149"/>
        <v>1508.3999999999987</v>
      </c>
      <c r="L251" s="799">
        <v>1526.4</v>
      </c>
      <c r="M251" s="144">
        <v>1526.4</v>
      </c>
      <c r="N251" s="108">
        <f t="shared" si="154"/>
        <v>1508.3999999999987</v>
      </c>
      <c r="O251" s="261">
        <f t="shared" si="150"/>
        <v>312.31999999999994</v>
      </c>
      <c r="P251" s="263">
        <v>121.21</v>
      </c>
      <c r="Q251" s="263"/>
      <c r="R251" s="263">
        <v>86.9</v>
      </c>
      <c r="S251" s="263">
        <f t="shared" si="155"/>
        <v>346.6299999999999</v>
      </c>
      <c r="T251" s="588">
        <f t="shared" si="156"/>
        <v>86.9</v>
      </c>
      <c r="U251" s="588">
        <f t="shared" si="157"/>
        <v>1526.4</v>
      </c>
      <c r="V251" s="589">
        <f t="shared" si="163"/>
        <v>0</v>
      </c>
      <c r="W251" s="590">
        <f t="shared" si="158"/>
        <v>1613.3000000000002</v>
      </c>
      <c r="X251" s="271">
        <f t="shared" si="159"/>
        <v>46630.04</v>
      </c>
      <c r="Y251" s="272">
        <f t="shared" si="160"/>
        <v>45558.33</v>
      </c>
      <c r="Z251" s="578">
        <f t="shared" si="161"/>
        <v>44031.93</v>
      </c>
      <c r="AB251" s="8">
        <f t="shared" si="162"/>
        <v>140350.84</v>
      </c>
      <c r="AC251" s="8">
        <f t="shared" si="151"/>
        <v>133608.42</v>
      </c>
      <c r="AD251" s="41"/>
      <c r="AE251" s="11"/>
    </row>
    <row r="252" spans="1:31" ht="18.75">
      <c r="A252" s="73" t="s">
        <v>13</v>
      </c>
      <c r="B252" s="74">
        <f t="shared" si="147"/>
        <v>56210.29000000002</v>
      </c>
      <c r="C252" s="74">
        <v>26273.16</v>
      </c>
      <c r="D252" s="74">
        <v>25268.84</v>
      </c>
      <c r="E252" s="74"/>
      <c r="F252" s="74">
        <f t="shared" si="152"/>
        <v>57214.61000000003</v>
      </c>
      <c r="G252" s="258">
        <f t="shared" si="148"/>
        <v>3836.1399999999985</v>
      </c>
      <c r="H252" s="1076">
        <v>174.37</v>
      </c>
      <c r="I252" s="260">
        <v>0</v>
      </c>
      <c r="J252" s="258">
        <f t="shared" si="153"/>
        <v>4010.5099999999984</v>
      </c>
      <c r="K252" s="78">
        <f t="shared" si="149"/>
        <v>-2290.02</v>
      </c>
      <c r="L252" s="799">
        <v>645.01</v>
      </c>
      <c r="M252" s="144"/>
      <c r="N252" s="108">
        <f t="shared" si="154"/>
        <v>-1645.01</v>
      </c>
      <c r="O252" s="261">
        <f t="shared" si="150"/>
        <v>152.22000000000008</v>
      </c>
      <c r="P252" s="263">
        <v>110.98</v>
      </c>
      <c r="Q252" s="263"/>
      <c r="R252" s="263">
        <v>101.75</v>
      </c>
      <c r="S252" s="263">
        <f t="shared" si="155"/>
        <v>161.4500000000001</v>
      </c>
      <c r="T252" s="588">
        <f t="shared" si="156"/>
        <v>101.75</v>
      </c>
      <c r="U252" s="588">
        <f t="shared" si="157"/>
        <v>0</v>
      </c>
      <c r="V252" s="589">
        <f t="shared" si="163"/>
        <v>0</v>
      </c>
      <c r="W252" s="590">
        <f t="shared" si="158"/>
        <v>101.75</v>
      </c>
      <c r="X252" s="271">
        <f t="shared" si="159"/>
        <v>27203.519999999997</v>
      </c>
      <c r="Y252" s="272">
        <f t="shared" si="160"/>
        <v>25370.59</v>
      </c>
      <c r="Z252" s="578">
        <f t="shared" si="161"/>
        <v>25370.59</v>
      </c>
      <c r="AB252" s="8">
        <f t="shared" si="162"/>
        <v>81681.70999999999</v>
      </c>
      <c r="AC252" s="8">
        <f t="shared" si="151"/>
        <v>75628.64</v>
      </c>
      <c r="AD252" s="41"/>
      <c r="AE252" s="11"/>
    </row>
    <row r="253" spans="1:31" ht="18.75">
      <c r="A253" s="73" t="s">
        <v>14</v>
      </c>
      <c r="B253" s="74">
        <f t="shared" si="147"/>
        <v>51627.83000000005</v>
      </c>
      <c r="C253" s="74">
        <v>32415.33</v>
      </c>
      <c r="D253" s="74">
        <v>28609.03</v>
      </c>
      <c r="E253" s="74"/>
      <c r="F253" s="74">
        <f t="shared" si="152"/>
        <v>55434.13000000006</v>
      </c>
      <c r="G253" s="258">
        <f t="shared" si="148"/>
        <v>5420.839999999997</v>
      </c>
      <c r="H253" s="602"/>
      <c r="I253" s="260">
        <v>0</v>
      </c>
      <c r="J253" s="258">
        <f t="shared" si="153"/>
        <v>5420.839999999997</v>
      </c>
      <c r="K253" s="78">
        <f t="shared" si="149"/>
        <v>4585.919999999999</v>
      </c>
      <c r="L253" s="799">
        <f>2408.85</f>
        <v>2408.85</v>
      </c>
      <c r="M253" s="144">
        <v>1735.22</v>
      </c>
      <c r="N253" s="108">
        <f t="shared" si="154"/>
        <v>5259.549999999998</v>
      </c>
      <c r="O253" s="261">
        <f t="shared" si="150"/>
        <v>-342.28000000000003</v>
      </c>
      <c r="P253" s="263">
        <v>2.64</v>
      </c>
      <c r="Q253" s="263"/>
      <c r="R253" s="263">
        <v>1.34</v>
      </c>
      <c r="S253" s="263">
        <f t="shared" si="155"/>
        <v>-340.98</v>
      </c>
      <c r="T253" s="588">
        <f t="shared" si="156"/>
        <v>1.34</v>
      </c>
      <c r="U253" s="588">
        <f t="shared" si="157"/>
        <v>1735.22</v>
      </c>
      <c r="V253" s="589">
        <f t="shared" si="163"/>
        <v>0</v>
      </c>
      <c r="W253" s="590">
        <f t="shared" si="158"/>
        <v>1736.56</v>
      </c>
      <c r="X253" s="271">
        <f t="shared" si="159"/>
        <v>34826.82</v>
      </c>
      <c r="Y253" s="272">
        <f t="shared" si="160"/>
        <v>30345.59</v>
      </c>
      <c r="Z253" s="578">
        <f t="shared" si="161"/>
        <v>28610.37</v>
      </c>
      <c r="AB253" s="8">
        <f t="shared" si="162"/>
        <v>105128.72</v>
      </c>
      <c r="AC253" s="8">
        <f t="shared" si="151"/>
        <v>102651.57999999999</v>
      </c>
      <c r="AD253" s="41"/>
      <c r="AE253" s="11"/>
    </row>
    <row r="254" spans="1:31" ht="18.75">
      <c r="A254" s="73" t="s">
        <v>55</v>
      </c>
      <c r="B254" s="74">
        <f t="shared" si="147"/>
        <v>46551.61000000001</v>
      </c>
      <c r="C254" s="74">
        <v>14758.92</v>
      </c>
      <c r="D254" s="74">
        <v>13441.38</v>
      </c>
      <c r="E254" s="74"/>
      <c r="F254" s="74">
        <f t="shared" si="152"/>
        <v>47869.15000000001</v>
      </c>
      <c r="G254" s="258">
        <f t="shared" si="148"/>
        <v>3895.5</v>
      </c>
      <c r="H254" s="1076">
        <v>185.5</v>
      </c>
      <c r="I254" s="260">
        <v>0</v>
      </c>
      <c r="J254" s="258">
        <f t="shared" si="153"/>
        <v>4081</v>
      </c>
      <c r="K254" s="78">
        <f t="shared" si="149"/>
        <v>1488.8900000000028</v>
      </c>
      <c r="L254" s="799">
        <v>372.59</v>
      </c>
      <c r="M254" s="108"/>
      <c r="N254" s="108">
        <f t="shared" si="154"/>
        <v>1861.4800000000027</v>
      </c>
      <c r="O254" s="261">
        <f t="shared" si="150"/>
        <v>-74.25999999999999</v>
      </c>
      <c r="P254" s="263">
        <v>7</v>
      </c>
      <c r="Q254" s="263"/>
      <c r="R254" s="263">
        <v>7</v>
      </c>
      <c r="S254" s="263">
        <f t="shared" si="155"/>
        <v>-74.25999999999999</v>
      </c>
      <c r="T254" s="588">
        <f t="shared" si="156"/>
        <v>7</v>
      </c>
      <c r="U254" s="588">
        <f t="shared" si="157"/>
        <v>0</v>
      </c>
      <c r="V254" s="589">
        <f t="shared" si="163"/>
        <v>0</v>
      </c>
      <c r="W254" s="590">
        <f t="shared" si="158"/>
        <v>7</v>
      </c>
      <c r="X254" s="271">
        <f t="shared" si="159"/>
        <v>15324.01</v>
      </c>
      <c r="Y254" s="272">
        <f t="shared" si="160"/>
        <v>13448.38</v>
      </c>
      <c r="Z254" s="578">
        <f t="shared" si="161"/>
        <v>13448.38</v>
      </c>
      <c r="AB254" s="8">
        <f t="shared" si="162"/>
        <v>46219.29</v>
      </c>
      <c r="AC254" s="8">
        <f t="shared" si="151"/>
        <v>42204.909999999996</v>
      </c>
      <c r="AD254" s="41"/>
      <c r="AE254" s="11"/>
    </row>
    <row r="255" spans="1:31" ht="18.75">
      <c r="A255" s="73" t="s">
        <v>15</v>
      </c>
      <c r="B255" s="74">
        <f t="shared" si="147"/>
        <v>108001.70000000032</v>
      </c>
      <c r="C255" s="74">
        <v>34705.99</v>
      </c>
      <c r="D255" s="74">
        <v>33938.25</v>
      </c>
      <c r="E255" s="74"/>
      <c r="F255" s="74">
        <f t="shared" si="152"/>
        <v>108769.44000000032</v>
      </c>
      <c r="G255" s="258">
        <f t="shared" si="148"/>
        <v>0</v>
      </c>
      <c r="H255" s="602"/>
      <c r="I255" s="260">
        <v>0</v>
      </c>
      <c r="J255" s="258">
        <f t="shared" si="153"/>
        <v>0</v>
      </c>
      <c r="K255" s="78">
        <f t="shared" si="149"/>
        <v>-2142.79</v>
      </c>
      <c r="L255" s="799">
        <v>1957.82</v>
      </c>
      <c r="M255" s="144">
        <v>3206.5</v>
      </c>
      <c r="N255" s="108">
        <f t="shared" si="154"/>
        <v>-3391.4700000000003</v>
      </c>
      <c r="O255" s="261">
        <f t="shared" si="150"/>
        <v>520.6199999999997</v>
      </c>
      <c r="P255" s="263">
        <v>179.41</v>
      </c>
      <c r="Q255" s="263"/>
      <c r="R255" s="263">
        <v>158.15</v>
      </c>
      <c r="S255" s="263">
        <f t="shared" si="155"/>
        <v>541.8799999999997</v>
      </c>
      <c r="T255" s="588">
        <f t="shared" si="156"/>
        <v>158.15</v>
      </c>
      <c r="U255" s="588">
        <f t="shared" si="157"/>
        <v>3206.5</v>
      </c>
      <c r="V255" s="589">
        <f t="shared" si="163"/>
        <v>0</v>
      </c>
      <c r="W255" s="590">
        <f t="shared" si="158"/>
        <v>3364.65</v>
      </c>
      <c r="X255" s="271">
        <f t="shared" si="159"/>
        <v>36843.22</v>
      </c>
      <c r="Y255" s="272">
        <f t="shared" si="160"/>
        <v>37302.9</v>
      </c>
      <c r="Z255" s="578">
        <f t="shared" si="161"/>
        <v>34096.4</v>
      </c>
      <c r="AB255" s="8">
        <f t="shared" si="162"/>
        <v>107145.65</v>
      </c>
      <c r="AC255" s="8">
        <f t="shared" si="151"/>
        <v>105570.51000000001</v>
      </c>
      <c r="AD255" s="41"/>
      <c r="AE255" s="11"/>
    </row>
    <row r="256" spans="1:31" ht="18.75">
      <c r="A256" s="73" t="s">
        <v>16</v>
      </c>
      <c r="B256" s="74">
        <f t="shared" si="147"/>
        <v>29771.090000000073</v>
      </c>
      <c r="C256" s="74">
        <v>28244.23</v>
      </c>
      <c r="D256" s="74">
        <v>25571.31</v>
      </c>
      <c r="E256" s="74"/>
      <c r="F256" s="74">
        <f t="shared" si="152"/>
        <v>32444.01000000007</v>
      </c>
      <c r="G256" s="258">
        <f t="shared" si="148"/>
        <v>0</v>
      </c>
      <c r="H256" s="602"/>
      <c r="I256" s="260">
        <v>0</v>
      </c>
      <c r="J256" s="258">
        <f t="shared" si="153"/>
        <v>0</v>
      </c>
      <c r="K256" s="78">
        <f t="shared" si="149"/>
        <v>2327.760000000002</v>
      </c>
      <c r="L256" s="799">
        <v>290.97</v>
      </c>
      <c r="M256" s="144">
        <v>1163.88</v>
      </c>
      <c r="N256" s="108">
        <f t="shared" si="154"/>
        <v>1454.8500000000022</v>
      </c>
      <c r="O256" s="261">
        <f t="shared" si="150"/>
        <v>84.92999999999999</v>
      </c>
      <c r="P256" s="263">
        <v>6.08</v>
      </c>
      <c r="Q256" s="263"/>
      <c r="R256" s="263">
        <v>6.51</v>
      </c>
      <c r="S256" s="263">
        <f t="shared" si="155"/>
        <v>84.49999999999999</v>
      </c>
      <c r="T256" s="588">
        <f t="shared" si="156"/>
        <v>6.51</v>
      </c>
      <c r="U256" s="588">
        <f t="shared" si="157"/>
        <v>1163.88</v>
      </c>
      <c r="V256" s="589">
        <f t="shared" si="163"/>
        <v>0</v>
      </c>
      <c r="W256" s="590">
        <f t="shared" si="158"/>
        <v>1170.39</v>
      </c>
      <c r="X256" s="271">
        <f t="shared" si="159"/>
        <v>28541.280000000002</v>
      </c>
      <c r="Y256" s="272">
        <f t="shared" si="160"/>
        <v>26741.7</v>
      </c>
      <c r="Z256" s="578">
        <f t="shared" si="161"/>
        <v>25577.82</v>
      </c>
      <c r="AB256" s="8">
        <f t="shared" si="162"/>
        <v>85859.06</v>
      </c>
      <c r="AC256" s="8">
        <f t="shared" si="151"/>
        <v>86227.03</v>
      </c>
      <c r="AD256" s="41"/>
      <c r="AE256" s="11"/>
    </row>
    <row r="257" spans="1:31" ht="18.75">
      <c r="A257" s="73" t="s">
        <v>17</v>
      </c>
      <c r="B257" s="74">
        <f t="shared" si="147"/>
        <v>51912.930000000284</v>
      </c>
      <c r="C257" s="74">
        <v>36774.58</v>
      </c>
      <c r="D257" s="74">
        <v>33120.22</v>
      </c>
      <c r="E257" s="74"/>
      <c r="F257" s="74">
        <f t="shared" si="152"/>
        <v>55567.290000000285</v>
      </c>
      <c r="G257" s="258">
        <f t="shared" si="148"/>
        <v>7735.350000000003</v>
      </c>
      <c r="H257" s="1076">
        <v>368.35</v>
      </c>
      <c r="I257" s="260">
        <v>0</v>
      </c>
      <c r="J257" s="258">
        <f t="shared" si="153"/>
        <v>8103.7000000000035</v>
      </c>
      <c r="K257" s="78">
        <f t="shared" si="149"/>
        <v>619.5699999999999</v>
      </c>
      <c r="L257" s="799">
        <v>619.57</v>
      </c>
      <c r="M257" s="144">
        <v>619.57</v>
      </c>
      <c r="N257" s="108">
        <f t="shared" si="154"/>
        <v>619.5699999999998</v>
      </c>
      <c r="O257" s="261">
        <f t="shared" si="150"/>
        <v>110.57000000000005</v>
      </c>
      <c r="P257" s="263">
        <v>0.66</v>
      </c>
      <c r="Q257" s="263"/>
      <c r="R257" s="263">
        <v>0</v>
      </c>
      <c r="S257" s="263">
        <f t="shared" si="155"/>
        <v>111.23000000000005</v>
      </c>
      <c r="T257" s="588">
        <f t="shared" si="156"/>
        <v>0</v>
      </c>
      <c r="U257" s="798">
        <f t="shared" si="157"/>
        <v>619.57</v>
      </c>
      <c r="V257" s="589">
        <f t="shared" si="163"/>
        <v>0</v>
      </c>
      <c r="W257" s="590">
        <f t="shared" si="158"/>
        <v>619.57</v>
      </c>
      <c r="X257" s="271">
        <f t="shared" si="159"/>
        <v>37763.16</v>
      </c>
      <c r="Y257" s="272">
        <f t="shared" si="160"/>
        <v>33739.79</v>
      </c>
      <c r="Z257" s="578">
        <f t="shared" si="161"/>
        <v>33120.22</v>
      </c>
      <c r="AB257" s="8">
        <f t="shared" si="162"/>
        <v>113695.95000000001</v>
      </c>
      <c r="AC257" s="8">
        <f t="shared" si="151"/>
        <v>108603.98</v>
      </c>
      <c r="AD257" s="41"/>
      <c r="AE257" s="11"/>
    </row>
    <row r="258" spans="1:31" ht="18.75">
      <c r="A258" s="73" t="s">
        <v>18</v>
      </c>
      <c r="B258" s="74">
        <f t="shared" si="147"/>
        <v>156747.9700000001</v>
      </c>
      <c r="C258" s="74">
        <v>78300.52</v>
      </c>
      <c r="D258" s="74">
        <v>78440.59</v>
      </c>
      <c r="E258" s="74"/>
      <c r="F258" s="74">
        <f t="shared" si="152"/>
        <v>156607.9000000001</v>
      </c>
      <c r="G258" s="258">
        <f t="shared" si="148"/>
        <v>840.0499999999986</v>
      </c>
      <c r="H258" s="602"/>
      <c r="I258" s="260">
        <v>0</v>
      </c>
      <c r="J258" s="258">
        <f t="shared" si="153"/>
        <v>840.0499999999986</v>
      </c>
      <c r="K258" s="78">
        <f t="shared" si="149"/>
        <v>1240.2000000000003</v>
      </c>
      <c r="L258" s="799">
        <v>2216.46</v>
      </c>
      <c r="M258" s="144">
        <v>2404.61</v>
      </c>
      <c r="N258" s="108">
        <f t="shared" si="154"/>
        <v>1052.0500000000002</v>
      </c>
      <c r="O258" s="261">
        <f t="shared" si="150"/>
        <v>172.37000000000018</v>
      </c>
      <c r="P258" s="263">
        <v>147.49</v>
      </c>
      <c r="Q258" s="263"/>
      <c r="R258" s="263">
        <v>132.19</v>
      </c>
      <c r="S258" s="263">
        <f t="shared" si="155"/>
        <v>187.6700000000002</v>
      </c>
      <c r="T258" s="588">
        <f t="shared" si="156"/>
        <v>132.19</v>
      </c>
      <c r="U258" s="588">
        <f t="shared" si="157"/>
        <v>2404.61</v>
      </c>
      <c r="V258" s="589">
        <f t="shared" si="163"/>
        <v>0</v>
      </c>
      <c r="W258" s="590">
        <f t="shared" si="158"/>
        <v>2536.8</v>
      </c>
      <c r="X258" s="271">
        <f t="shared" si="159"/>
        <v>80664.47000000002</v>
      </c>
      <c r="Y258" s="272">
        <f t="shared" si="160"/>
        <v>80977.39</v>
      </c>
      <c r="Z258" s="578">
        <f t="shared" si="161"/>
        <v>78572.78</v>
      </c>
      <c r="AB258" s="8">
        <f t="shared" si="162"/>
        <v>242196.74000000005</v>
      </c>
      <c r="AC258" s="8">
        <f t="shared" si="151"/>
        <v>237056.78000000003</v>
      </c>
      <c r="AD258" s="41"/>
      <c r="AE258" s="11"/>
    </row>
    <row r="259" spans="1:31" ht="18.75">
      <c r="A259" s="73" t="s">
        <v>54</v>
      </c>
      <c r="B259" s="74">
        <f t="shared" si="147"/>
        <v>62504.710000000334</v>
      </c>
      <c r="C259" s="74">
        <v>33617.9</v>
      </c>
      <c r="D259" s="74">
        <v>38400.45</v>
      </c>
      <c r="E259" s="74"/>
      <c r="F259" s="74">
        <f t="shared" si="152"/>
        <v>57722.16000000034</v>
      </c>
      <c r="G259" s="258">
        <f t="shared" si="148"/>
        <v>6400.160000000002</v>
      </c>
      <c r="H259" s="1076">
        <v>261.82</v>
      </c>
      <c r="I259" s="260">
        <v>0</v>
      </c>
      <c r="J259" s="258">
        <f t="shared" si="153"/>
        <v>6661.980000000001</v>
      </c>
      <c r="K259" s="78">
        <f t="shared" si="149"/>
        <v>0</v>
      </c>
      <c r="L259" s="1040"/>
      <c r="M259" s="108"/>
      <c r="N259" s="108">
        <f t="shared" si="154"/>
        <v>0</v>
      </c>
      <c r="O259" s="261">
        <f t="shared" si="150"/>
        <v>-1268.37</v>
      </c>
      <c r="P259" s="263">
        <v>88.53</v>
      </c>
      <c r="Q259" s="263"/>
      <c r="R259" s="263">
        <f>534.1+118.26</f>
        <v>652.36</v>
      </c>
      <c r="S259" s="263">
        <f t="shared" si="155"/>
        <v>-1832.1999999999998</v>
      </c>
      <c r="T259" s="588">
        <f t="shared" si="156"/>
        <v>652.36</v>
      </c>
      <c r="U259" s="588">
        <f t="shared" si="157"/>
        <v>0</v>
      </c>
      <c r="V259" s="589">
        <f t="shared" si="163"/>
        <v>0</v>
      </c>
      <c r="W259" s="590">
        <f t="shared" si="158"/>
        <v>652.36</v>
      </c>
      <c r="X259" s="271">
        <f t="shared" si="159"/>
        <v>33968.25</v>
      </c>
      <c r="Y259" s="272">
        <f t="shared" si="160"/>
        <v>39052.81</v>
      </c>
      <c r="Z259" s="578">
        <f t="shared" si="161"/>
        <v>39052.81</v>
      </c>
      <c r="AB259" s="8">
        <f t="shared" si="162"/>
        <v>102219.16</v>
      </c>
      <c r="AC259" s="8">
        <f t="shared" si="151"/>
        <v>111788.92000000001</v>
      </c>
      <c r="AD259" s="41"/>
      <c r="AE259" s="11"/>
    </row>
    <row r="260" spans="1:31" ht="18.75">
      <c r="A260" s="73" t="s">
        <v>49</v>
      </c>
      <c r="B260" s="74">
        <f t="shared" si="147"/>
        <v>200778.9100000002</v>
      </c>
      <c r="C260" s="74">
        <v>71492.24</v>
      </c>
      <c r="D260" s="74">
        <v>75158.21</v>
      </c>
      <c r="E260" s="74"/>
      <c r="F260" s="74">
        <f t="shared" si="152"/>
        <v>197112.94000000018</v>
      </c>
      <c r="G260" s="258">
        <f t="shared" si="148"/>
        <v>17162.460000000003</v>
      </c>
      <c r="H260" s="1076">
        <v>817.26</v>
      </c>
      <c r="I260" s="260">
        <v>0</v>
      </c>
      <c r="J260" s="258">
        <f t="shared" si="153"/>
        <v>17979.72</v>
      </c>
      <c r="K260" s="78">
        <f t="shared" si="149"/>
        <v>3991.540000000004</v>
      </c>
      <c r="L260" s="799">
        <v>3561.07</v>
      </c>
      <c r="M260" s="144">
        <v>3924.65</v>
      </c>
      <c r="N260" s="108">
        <f t="shared" si="154"/>
        <v>3627.960000000004</v>
      </c>
      <c r="O260" s="261">
        <f t="shared" si="150"/>
        <v>-1029.1700000000003</v>
      </c>
      <c r="P260" s="263">
        <v>271.24</v>
      </c>
      <c r="Q260" s="263"/>
      <c r="R260" s="263">
        <v>239.28</v>
      </c>
      <c r="S260" s="263">
        <f t="shared" si="155"/>
        <v>-997.2100000000003</v>
      </c>
      <c r="T260" s="588">
        <f t="shared" si="156"/>
        <v>239.28</v>
      </c>
      <c r="U260" s="588">
        <f t="shared" si="157"/>
        <v>3924.65</v>
      </c>
      <c r="V260" s="589">
        <f t="shared" si="163"/>
        <v>0</v>
      </c>
      <c r="W260" s="590">
        <f t="shared" si="158"/>
        <v>4163.93</v>
      </c>
      <c r="X260" s="271">
        <f t="shared" si="159"/>
        <v>76141.81000000001</v>
      </c>
      <c r="Y260" s="272">
        <f t="shared" si="160"/>
        <v>79322.14</v>
      </c>
      <c r="Z260" s="578">
        <f t="shared" si="161"/>
        <v>75397.49</v>
      </c>
      <c r="AB260" s="8">
        <f t="shared" si="162"/>
        <v>228220.59000000003</v>
      </c>
      <c r="AC260" s="8">
        <f t="shared" si="151"/>
        <v>220635.23</v>
      </c>
      <c r="AD260" s="41"/>
      <c r="AE260" s="11"/>
    </row>
    <row r="261" spans="1:31" ht="27" customHeight="1">
      <c r="A261" s="73" t="s">
        <v>19</v>
      </c>
      <c r="B261" s="74">
        <f t="shared" si="147"/>
        <v>87197.16999999998</v>
      </c>
      <c r="C261" s="74">
        <v>52752.49</v>
      </c>
      <c r="D261" s="74">
        <v>53481.47</v>
      </c>
      <c r="E261" s="74"/>
      <c r="F261" s="74">
        <f t="shared" si="152"/>
        <v>86468.18999999997</v>
      </c>
      <c r="G261" s="258">
        <f t="shared" si="148"/>
        <v>7896.059999999996</v>
      </c>
      <c r="H261" s="1076">
        <v>356.69</v>
      </c>
      <c r="I261" s="260">
        <v>0</v>
      </c>
      <c r="J261" s="258">
        <f t="shared" si="153"/>
        <v>8252.749999999996</v>
      </c>
      <c r="K261" s="78">
        <f t="shared" si="149"/>
        <v>1887.9800000000005</v>
      </c>
      <c r="L261" s="799">
        <v>1041.98</v>
      </c>
      <c r="M261" s="144">
        <v>745.18</v>
      </c>
      <c r="N261" s="108">
        <f t="shared" si="154"/>
        <v>2184.7800000000007</v>
      </c>
      <c r="O261" s="261">
        <f t="shared" si="150"/>
        <v>923.6200000000006</v>
      </c>
      <c r="P261" s="263">
        <v>87.91</v>
      </c>
      <c r="Q261" s="263"/>
      <c r="R261" s="263">
        <v>100.15</v>
      </c>
      <c r="S261" s="263">
        <f t="shared" si="155"/>
        <v>911.3800000000006</v>
      </c>
      <c r="T261" s="588">
        <f t="shared" si="156"/>
        <v>100.15</v>
      </c>
      <c r="U261" s="798">
        <f t="shared" si="157"/>
        <v>745.18</v>
      </c>
      <c r="V261" s="589">
        <f t="shared" si="163"/>
        <v>0</v>
      </c>
      <c r="W261" s="590">
        <f t="shared" si="158"/>
        <v>845.3299999999999</v>
      </c>
      <c r="X261" s="271">
        <f t="shared" si="159"/>
        <v>54239.07000000001</v>
      </c>
      <c r="Y261" s="272">
        <f t="shared" si="160"/>
        <v>54326.8</v>
      </c>
      <c r="Z261" s="578">
        <f t="shared" si="161"/>
        <v>53581.62</v>
      </c>
      <c r="AB261" s="8">
        <f t="shared" si="162"/>
        <v>163322.98</v>
      </c>
      <c r="AC261" s="8">
        <f t="shared" si="151"/>
        <v>160225.54</v>
      </c>
      <c r="AD261" s="41"/>
      <c r="AE261" s="11"/>
    </row>
    <row r="262" spans="1:31" ht="18.75">
      <c r="A262" s="80" t="s">
        <v>20</v>
      </c>
      <c r="B262" s="131">
        <f t="shared" si="147"/>
        <v>62689.410000000076</v>
      </c>
      <c r="C262" s="131">
        <v>34274.05</v>
      </c>
      <c r="D262" s="131">
        <v>32176.74</v>
      </c>
      <c r="E262" s="131"/>
      <c r="F262" s="131">
        <f t="shared" si="152"/>
        <v>64786.720000000074</v>
      </c>
      <c r="G262" s="259">
        <f t="shared" si="148"/>
        <v>0</v>
      </c>
      <c r="H262" s="603"/>
      <c r="I262" s="260">
        <v>0</v>
      </c>
      <c r="J262" s="258">
        <f t="shared" si="153"/>
        <v>0</v>
      </c>
      <c r="K262" s="78">
        <f t="shared" si="149"/>
        <v>4051.5699999999997</v>
      </c>
      <c r="L262" s="1082">
        <v>689</v>
      </c>
      <c r="M262" s="183">
        <v>689</v>
      </c>
      <c r="N262" s="108">
        <f t="shared" si="154"/>
        <v>4051.5699999999997</v>
      </c>
      <c r="O262" s="261">
        <f t="shared" si="150"/>
        <v>128.3799999999999</v>
      </c>
      <c r="P262" s="264">
        <v>5.24</v>
      </c>
      <c r="Q262" s="264"/>
      <c r="R262" s="264">
        <v>5.09</v>
      </c>
      <c r="S262" s="263">
        <f t="shared" si="155"/>
        <v>128.52999999999992</v>
      </c>
      <c r="T262" s="591">
        <f t="shared" si="156"/>
        <v>5.09</v>
      </c>
      <c r="U262" s="591">
        <f t="shared" si="157"/>
        <v>689</v>
      </c>
      <c r="V262" s="592">
        <f t="shared" si="163"/>
        <v>0</v>
      </c>
      <c r="W262" s="590">
        <f t="shared" si="158"/>
        <v>694.09</v>
      </c>
      <c r="X262" s="271">
        <f t="shared" si="159"/>
        <v>34968.29</v>
      </c>
      <c r="Y262" s="272">
        <f t="shared" si="160"/>
        <v>32870.83</v>
      </c>
      <c r="Z262" s="578">
        <f t="shared" si="161"/>
        <v>32181.83</v>
      </c>
      <c r="AB262" s="8">
        <f t="shared" si="162"/>
        <v>104924.95000000001</v>
      </c>
      <c r="AC262" s="8">
        <f t="shared" si="151"/>
        <v>100468.43</v>
      </c>
      <c r="AD262" s="41"/>
      <c r="AE262" s="11"/>
    </row>
    <row r="263" spans="1:31" ht="27" customHeight="1">
      <c r="A263" s="80" t="s">
        <v>114</v>
      </c>
      <c r="B263" s="131">
        <f t="shared" si="147"/>
        <v>-444151.28000000044</v>
      </c>
      <c r="C263" s="131">
        <v>41833.43</v>
      </c>
      <c r="D263" s="131">
        <v>43877.25</v>
      </c>
      <c r="E263" s="131"/>
      <c r="F263" s="131">
        <f t="shared" si="152"/>
        <v>-446195.10000000044</v>
      </c>
      <c r="G263" s="259">
        <f t="shared" si="148"/>
        <v>2149.68</v>
      </c>
      <c r="H263" s="1078">
        <v>268.71</v>
      </c>
      <c r="I263" s="260">
        <v>0</v>
      </c>
      <c r="J263" s="258">
        <f t="shared" si="153"/>
        <v>2418.39</v>
      </c>
      <c r="K263" s="78">
        <f t="shared" si="149"/>
        <v>1421.9599999999998</v>
      </c>
      <c r="L263" s="1081">
        <v>1421.46</v>
      </c>
      <c r="M263" s="183">
        <v>1421.46</v>
      </c>
      <c r="N263" s="108">
        <f t="shared" si="154"/>
        <v>1421.96</v>
      </c>
      <c r="O263" s="261">
        <f t="shared" si="150"/>
        <v>44.859999999999985</v>
      </c>
      <c r="P263" s="264">
        <v>30</v>
      </c>
      <c r="Q263" s="264"/>
      <c r="R263" s="264">
        <v>5.07</v>
      </c>
      <c r="S263" s="263">
        <f t="shared" si="155"/>
        <v>69.78999999999999</v>
      </c>
      <c r="T263" s="591">
        <f t="shared" si="156"/>
        <v>5.07</v>
      </c>
      <c r="U263" s="591">
        <f t="shared" si="157"/>
        <v>1421.46</v>
      </c>
      <c r="V263" s="592">
        <f t="shared" si="163"/>
        <v>0</v>
      </c>
      <c r="W263" s="590">
        <f t="shared" si="158"/>
        <v>1426.53</v>
      </c>
      <c r="X263" s="271">
        <f t="shared" si="159"/>
        <v>43553.6</v>
      </c>
      <c r="Y263" s="272">
        <f t="shared" si="160"/>
        <v>45303.78</v>
      </c>
      <c r="Z263" s="578">
        <f t="shared" si="161"/>
        <v>43882.32</v>
      </c>
      <c r="AB263" s="8">
        <f t="shared" si="162"/>
        <v>131062.41</v>
      </c>
      <c r="AC263" s="8">
        <f t="shared" si="151"/>
        <v>146466.74</v>
      </c>
      <c r="AD263" s="41"/>
      <c r="AE263" s="11"/>
    </row>
    <row r="264" spans="1:30" ht="18.75">
      <c r="A264" s="80" t="s">
        <v>124</v>
      </c>
      <c r="B264" s="131">
        <f>F234</f>
        <v>17150.40999999993</v>
      </c>
      <c r="C264" s="131">
        <v>14903.07</v>
      </c>
      <c r="D264" s="131">
        <v>12990.02</v>
      </c>
      <c r="E264" s="131"/>
      <c r="F264" s="131">
        <f t="shared" si="152"/>
        <v>19063.45999999993</v>
      </c>
      <c r="G264" s="259">
        <f t="shared" si="148"/>
        <v>0</v>
      </c>
      <c r="H264" s="604"/>
      <c r="I264" s="260">
        <v>0</v>
      </c>
      <c r="J264" s="258">
        <f t="shared" si="153"/>
        <v>0</v>
      </c>
      <c r="K264" s="78">
        <f t="shared" si="149"/>
        <v>0</v>
      </c>
      <c r="L264" s="1043"/>
      <c r="M264" s="257"/>
      <c r="N264" s="108">
        <f t="shared" si="154"/>
        <v>0</v>
      </c>
      <c r="O264" s="261">
        <f t="shared" si="150"/>
        <v>41.68000000000001</v>
      </c>
      <c r="P264" s="264">
        <v>29.38</v>
      </c>
      <c r="Q264" s="264"/>
      <c r="R264" s="264">
        <v>19.94</v>
      </c>
      <c r="S264" s="263">
        <f t="shared" si="155"/>
        <v>51.120000000000005</v>
      </c>
      <c r="T264" s="591">
        <f t="shared" si="156"/>
        <v>19.94</v>
      </c>
      <c r="U264" s="591">
        <f t="shared" si="157"/>
        <v>0</v>
      </c>
      <c r="V264" s="592">
        <f t="shared" si="163"/>
        <v>0</v>
      </c>
      <c r="W264" s="590">
        <f t="shared" si="158"/>
        <v>19.94</v>
      </c>
      <c r="X264" s="271">
        <f t="shared" si="159"/>
        <v>14932.449999999999</v>
      </c>
      <c r="Y264" s="272">
        <f t="shared" si="160"/>
        <v>13009.960000000001</v>
      </c>
      <c r="Z264" s="578">
        <f t="shared" si="161"/>
        <v>13009.960000000001</v>
      </c>
      <c r="AB264" s="8">
        <f t="shared" si="162"/>
        <v>44761.64</v>
      </c>
      <c r="AC264" s="8">
        <f t="shared" si="151"/>
        <v>41570.75</v>
      </c>
      <c r="AD264" s="41"/>
    </row>
    <row r="265" spans="1:32" ht="18.75">
      <c r="A265" s="708" t="s">
        <v>188</v>
      </c>
      <c r="B265" s="428">
        <f>F234</f>
        <v>17150.40999999993</v>
      </c>
      <c r="C265" s="702">
        <v>39551.25</v>
      </c>
      <c r="D265" s="702">
        <v>42392.17</v>
      </c>
      <c r="E265" s="450"/>
      <c r="F265" s="428">
        <f t="shared" si="152"/>
        <v>14309.489999999932</v>
      </c>
      <c r="G265" s="259">
        <f t="shared" si="148"/>
        <v>5083.2300000000005</v>
      </c>
      <c r="H265" s="1079">
        <v>338.67</v>
      </c>
      <c r="I265" s="260">
        <v>0</v>
      </c>
      <c r="J265" s="258">
        <f t="shared" si="153"/>
        <v>5421.900000000001</v>
      </c>
      <c r="K265" s="78">
        <f t="shared" si="149"/>
        <v>-12302.889999999996</v>
      </c>
      <c r="L265" s="1080">
        <f>666.74+435.13+359.87</f>
        <v>1461.7399999999998</v>
      </c>
      <c r="M265" s="144">
        <v>13271.57</v>
      </c>
      <c r="N265" s="108">
        <f t="shared" si="154"/>
        <v>-24112.719999999994</v>
      </c>
      <c r="O265" s="261">
        <f t="shared" si="150"/>
        <v>-16535.230000000003</v>
      </c>
      <c r="P265" s="637">
        <v>103.42</v>
      </c>
      <c r="Q265" s="480"/>
      <c r="R265" s="637">
        <v>122.96</v>
      </c>
      <c r="S265" s="263">
        <f t="shared" si="155"/>
        <v>-16554.770000000004</v>
      </c>
      <c r="T265" s="296">
        <f t="shared" si="156"/>
        <v>122.96</v>
      </c>
      <c r="U265" s="793">
        <f t="shared" si="157"/>
        <v>13271.57</v>
      </c>
      <c r="V265" s="592">
        <f t="shared" si="163"/>
        <v>0</v>
      </c>
      <c r="W265" s="590">
        <f t="shared" si="158"/>
        <v>13394.529999999999</v>
      </c>
      <c r="X265" s="271">
        <f t="shared" si="159"/>
        <v>41455.079999999994</v>
      </c>
      <c r="Y265" s="272">
        <f t="shared" si="160"/>
        <v>55786.7</v>
      </c>
      <c r="Z265" s="578">
        <f t="shared" si="161"/>
        <v>42515.13</v>
      </c>
      <c r="AA265" s="724"/>
      <c r="AB265" s="8">
        <f t="shared" si="162"/>
        <v>124699.52999999997</v>
      </c>
      <c r="AC265" s="8">
        <f t="shared" si="151"/>
        <v>129157.71999999999</v>
      </c>
      <c r="AD265" s="738"/>
      <c r="AE265" s="726"/>
      <c r="AF265" s="11"/>
    </row>
    <row r="266" spans="1:32" ht="18.75">
      <c r="A266" s="709" t="s">
        <v>189</v>
      </c>
      <c r="B266" s="428">
        <f>F235</f>
        <v>94350.81</v>
      </c>
      <c r="C266" s="702">
        <v>45631.94</v>
      </c>
      <c r="D266" s="702">
        <v>42945.71</v>
      </c>
      <c r="E266" s="450"/>
      <c r="F266" s="428">
        <f t="shared" si="152"/>
        <v>97037.04000000001</v>
      </c>
      <c r="G266" s="259">
        <f t="shared" si="148"/>
        <v>23530.94</v>
      </c>
      <c r="H266" s="1079">
        <v>2162.4</v>
      </c>
      <c r="I266" s="260">
        <v>0</v>
      </c>
      <c r="J266" s="258">
        <f t="shared" si="153"/>
        <v>25693.34</v>
      </c>
      <c r="K266" s="78">
        <f t="shared" si="149"/>
        <v>-16253.319999999994</v>
      </c>
      <c r="L266" s="1080">
        <v>701.19</v>
      </c>
      <c r="M266" s="481">
        <v>701.19</v>
      </c>
      <c r="N266" s="108">
        <f t="shared" si="154"/>
        <v>-16253.319999999994</v>
      </c>
      <c r="O266" s="261">
        <f t="shared" si="150"/>
        <v>-69495.8</v>
      </c>
      <c r="P266" s="637">
        <v>67.3</v>
      </c>
      <c r="Q266" s="480"/>
      <c r="R266" s="637">
        <v>114.48</v>
      </c>
      <c r="S266" s="263">
        <f t="shared" si="155"/>
        <v>-69542.98</v>
      </c>
      <c r="T266" s="296">
        <f t="shared" si="156"/>
        <v>114.48</v>
      </c>
      <c r="U266" s="793">
        <f t="shared" si="157"/>
        <v>701.19</v>
      </c>
      <c r="V266" s="592">
        <f t="shared" si="163"/>
        <v>0</v>
      </c>
      <c r="W266" s="590">
        <f t="shared" si="158"/>
        <v>815.6700000000001</v>
      </c>
      <c r="X266" s="271">
        <f t="shared" si="159"/>
        <v>48562.83000000001</v>
      </c>
      <c r="Y266" s="272">
        <f t="shared" si="160"/>
        <v>43761.380000000005</v>
      </c>
      <c r="Z266" s="578">
        <f t="shared" si="161"/>
        <v>43060.19</v>
      </c>
      <c r="AA266" s="724"/>
      <c r="AB266" s="8">
        <f t="shared" si="162"/>
        <v>150080.77000000002</v>
      </c>
      <c r="AC266" s="8">
        <f t="shared" si="151"/>
        <v>173172.47999999998</v>
      </c>
      <c r="AD266" s="738"/>
      <c r="AE266" s="726"/>
      <c r="AF266" s="11"/>
    </row>
    <row r="267" spans="1:32" ht="18.75">
      <c r="A267" s="709" t="s">
        <v>251</v>
      </c>
      <c r="B267" s="428">
        <f>F236</f>
        <v>114239.03</v>
      </c>
      <c r="C267" s="702">
        <v>42325.8</v>
      </c>
      <c r="D267" s="702">
        <v>37026.13</v>
      </c>
      <c r="E267" s="450"/>
      <c r="F267" s="428">
        <f t="shared" si="152"/>
        <v>119538.70000000001</v>
      </c>
      <c r="G267" s="259">
        <f t="shared" si="148"/>
        <v>0</v>
      </c>
      <c r="H267" s="604"/>
      <c r="I267" s="260">
        <v>0</v>
      </c>
      <c r="J267" s="258">
        <f t="shared" si="153"/>
        <v>0</v>
      </c>
      <c r="K267" s="78">
        <f t="shared" si="149"/>
        <v>-62303.45</v>
      </c>
      <c r="L267" s="1080">
        <v>642.36</v>
      </c>
      <c r="M267" s="481">
        <v>1284.72</v>
      </c>
      <c r="N267" s="108">
        <f t="shared" si="154"/>
        <v>-62945.81</v>
      </c>
      <c r="O267" s="261">
        <f t="shared" si="150"/>
        <v>-73474.75000000001</v>
      </c>
      <c r="P267" s="637">
        <v>30.62</v>
      </c>
      <c r="Q267" s="480"/>
      <c r="R267" s="637">
        <f>33.41-34.28</f>
        <v>-0.8700000000000045</v>
      </c>
      <c r="S267" s="263">
        <f t="shared" si="155"/>
        <v>-73443.26000000002</v>
      </c>
      <c r="T267" s="296">
        <f t="shared" si="156"/>
        <v>-0.8700000000000045</v>
      </c>
      <c r="U267" s="793">
        <f t="shared" si="157"/>
        <v>1284.72</v>
      </c>
      <c r="V267" s="592">
        <f t="shared" si="163"/>
        <v>0</v>
      </c>
      <c r="W267" s="590">
        <f t="shared" si="158"/>
        <v>1283.85</v>
      </c>
      <c r="X267" s="271">
        <f t="shared" si="159"/>
        <v>42998.780000000006</v>
      </c>
      <c r="Y267" s="272">
        <f t="shared" si="160"/>
        <v>38309.979999999996</v>
      </c>
      <c r="Z267" s="578">
        <f t="shared" si="161"/>
        <v>37025.259999999995</v>
      </c>
      <c r="AA267" s="724"/>
      <c r="AB267" s="8">
        <f t="shared" si="162"/>
        <v>129490.43000000002</v>
      </c>
      <c r="AC267" s="8">
        <f t="shared" si="151"/>
        <v>128725.1</v>
      </c>
      <c r="AD267" s="738"/>
      <c r="AE267" s="726"/>
      <c r="AF267" s="11"/>
    </row>
    <row r="268" spans="1:32" ht="18.75">
      <c r="A268" s="709" t="s">
        <v>253</v>
      </c>
      <c r="B268" s="428">
        <f>F237</f>
        <v>90497.36000000002</v>
      </c>
      <c r="C268" s="702">
        <v>15747.89</v>
      </c>
      <c r="D268" s="702">
        <v>23159.33</v>
      </c>
      <c r="E268" s="450"/>
      <c r="F268" s="428">
        <f t="shared" si="152"/>
        <v>83085.92000000001</v>
      </c>
      <c r="G268" s="259">
        <f t="shared" si="148"/>
        <v>0</v>
      </c>
      <c r="H268" s="604"/>
      <c r="I268" s="260">
        <v>0</v>
      </c>
      <c r="J268" s="258">
        <f t="shared" si="153"/>
        <v>0</v>
      </c>
      <c r="K268" s="78">
        <f t="shared" si="149"/>
        <v>0</v>
      </c>
      <c r="L268" s="1043">
        <v>0</v>
      </c>
      <c r="M268" s="481"/>
      <c r="N268" s="108">
        <f t="shared" si="154"/>
        <v>0</v>
      </c>
      <c r="O268" s="261">
        <f t="shared" si="150"/>
        <v>11378.419999999998</v>
      </c>
      <c r="P268" s="637">
        <v>489.24</v>
      </c>
      <c r="Q268" s="480"/>
      <c r="R268" s="637">
        <f>390.42+1601.73</f>
        <v>1992.15</v>
      </c>
      <c r="S268" s="263">
        <f t="shared" si="155"/>
        <v>9875.509999999998</v>
      </c>
      <c r="T268" s="296">
        <f t="shared" si="156"/>
        <v>1992.15</v>
      </c>
      <c r="U268" s="793">
        <f t="shared" si="157"/>
        <v>0</v>
      </c>
      <c r="V268" s="592">
        <f t="shared" si="163"/>
        <v>0</v>
      </c>
      <c r="W268" s="590">
        <f t="shared" si="158"/>
        <v>1992.15</v>
      </c>
      <c r="X268" s="271">
        <f t="shared" si="159"/>
        <v>16237.13</v>
      </c>
      <c r="Y268" s="272">
        <f t="shared" si="160"/>
        <v>25151.480000000003</v>
      </c>
      <c r="Z268" s="578">
        <f t="shared" si="161"/>
        <v>25151.480000000003</v>
      </c>
      <c r="AA268" s="724"/>
      <c r="AB268" s="8">
        <f>AC207+X237+X268</f>
        <v>48316.88</v>
      </c>
      <c r="AC268" s="8">
        <f>Z268+Z237+AE207+AB207</f>
        <v>72495.96</v>
      </c>
      <c r="AD268" s="738"/>
      <c r="AE268" s="726"/>
      <c r="AF268" s="11"/>
    </row>
    <row r="269" spans="1:32" ht="19.5" thickBot="1">
      <c r="A269" s="709" t="s">
        <v>303</v>
      </c>
      <c r="B269" s="428">
        <f>F238</f>
        <v>46911.27</v>
      </c>
      <c r="C269" s="702">
        <v>55534.46</v>
      </c>
      <c r="D269" s="702">
        <v>47401.05</v>
      </c>
      <c r="E269" s="450"/>
      <c r="F269" s="428">
        <f t="shared" si="152"/>
        <v>55044.67999999999</v>
      </c>
      <c r="G269" s="259">
        <f t="shared" si="148"/>
        <v>0</v>
      </c>
      <c r="H269" s="721"/>
      <c r="I269" s="260">
        <v>0</v>
      </c>
      <c r="J269" s="258">
        <f t="shared" si="153"/>
        <v>0</v>
      </c>
      <c r="K269" s="78">
        <f t="shared" si="149"/>
        <v>28972.6</v>
      </c>
      <c r="L269" s="738">
        <f>658.26+681.05</f>
        <v>1339.31</v>
      </c>
      <c r="M269" s="481">
        <v>3314.09</v>
      </c>
      <c r="N269" s="108">
        <f t="shared" si="154"/>
        <v>26997.82</v>
      </c>
      <c r="O269" s="261">
        <f t="shared" si="150"/>
        <v>0</v>
      </c>
      <c r="P269" s="637">
        <v>0</v>
      </c>
      <c r="Q269" s="480"/>
      <c r="R269" s="637">
        <v>0</v>
      </c>
      <c r="S269" s="263">
        <f t="shared" si="155"/>
        <v>0</v>
      </c>
      <c r="T269" s="296">
        <f t="shared" si="156"/>
        <v>0</v>
      </c>
      <c r="U269" s="793">
        <f t="shared" si="157"/>
        <v>3314.09</v>
      </c>
      <c r="V269" s="592">
        <f t="shared" si="163"/>
        <v>0</v>
      </c>
      <c r="W269" s="590">
        <f t="shared" si="158"/>
        <v>3314.09</v>
      </c>
      <c r="X269" s="271">
        <f t="shared" si="159"/>
        <v>56873.77</v>
      </c>
      <c r="Y269" s="272">
        <f t="shared" si="160"/>
        <v>50715.14</v>
      </c>
      <c r="Z269" s="578">
        <f t="shared" si="161"/>
        <v>47401.05</v>
      </c>
      <c r="AA269" s="724"/>
      <c r="AB269" s="8">
        <f>X238+X269</f>
        <v>141380.83</v>
      </c>
      <c r="AC269" s="8">
        <f>Z269+Z238</f>
        <v>56024.240000000005</v>
      </c>
      <c r="AD269" s="738"/>
      <c r="AE269" s="726"/>
      <c r="AF269" s="11"/>
    </row>
    <row r="270" spans="1:29" ht="36" customHeight="1" thickBot="1">
      <c r="A270" s="445" t="s">
        <v>127</v>
      </c>
      <c r="B270" s="414">
        <f>SUM(B244:B269)</f>
        <v>1744310.1600000018</v>
      </c>
      <c r="C270" s="397">
        <f>SUM(C244:C269)</f>
        <v>892407.12</v>
      </c>
      <c r="D270" s="397">
        <f>SUM(D244:D269)</f>
        <v>874380.0900000001</v>
      </c>
      <c r="E270" s="397"/>
      <c r="F270" s="414">
        <f>SUM(F244:F269)</f>
        <v>1762337.1900000016</v>
      </c>
      <c r="G270" s="397"/>
      <c r="H270" s="395">
        <f>SUM(H244:H266)</f>
        <v>9912.88</v>
      </c>
      <c r="I270" s="395">
        <v>0</v>
      </c>
      <c r="J270" s="646">
        <f aca="true" t="shared" si="164" ref="J270:P270">SUM(J244:J269)</f>
        <v>209173.02999999997</v>
      </c>
      <c r="K270" s="414">
        <f t="shared" si="164"/>
        <v>-48281.64999999997</v>
      </c>
      <c r="L270" s="1083">
        <f t="shared" si="164"/>
        <v>27184.17</v>
      </c>
      <c r="M270" s="731">
        <f t="shared" si="164"/>
        <v>45836</v>
      </c>
      <c r="N270" s="414">
        <f t="shared" si="164"/>
        <v>-66933.47999999998</v>
      </c>
      <c r="O270" s="414">
        <f t="shared" si="164"/>
        <v>-152282.05000000005</v>
      </c>
      <c r="P270" s="397">
        <f t="shared" si="164"/>
        <v>2325.37</v>
      </c>
      <c r="Q270" s="397"/>
      <c r="R270" s="397">
        <f aca="true" t="shared" si="165" ref="R270:Y270">SUM(R244:R269)</f>
        <v>4212.5</v>
      </c>
      <c r="S270" s="414">
        <f t="shared" si="165"/>
        <v>-154169.18</v>
      </c>
      <c r="T270" s="806">
        <f t="shared" si="165"/>
        <v>4212.5</v>
      </c>
      <c r="U270" s="806">
        <f t="shared" si="165"/>
        <v>45836</v>
      </c>
      <c r="V270" s="806">
        <f t="shared" si="165"/>
        <v>0</v>
      </c>
      <c r="W270" s="806">
        <f t="shared" si="165"/>
        <v>50048.5</v>
      </c>
      <c r="X270" s="443">
        <f t="shared" si="165"/>
        <v>931829.54</v>
      </c>
      <c r="Y270" s="442">
        <f t="shared" si="165"/>
        <v>924428.59</v>
      </c>
      <c r="Z270" s="578">
        <f t="shared" si="161"/>
        <v>878592.5900000001</v>
      </c>
      <c r="AA270" s="704"/>
      <c r="AB270" s="732">
        <f>SUM(AB244:AB266)</f>
        <v>2454427.56</v>
      </c>
      <c r="AC270" s="745">
        <f>SUM(AC244:AC266)</f>
        <v>2431005.1500000004</v>
      </c>
    </row>
    <row r="271" spans="1:29" s="667" customFormat="1" ht="36" customHeight="1" thickBot="1">
      <c r="A271" s="940"/>
      <c r="B271" s="878"/>
      <c r="C271" s="550"/>
      <c r="D271" s="550"/>
      <c r="E271" s="550"/>
      <c r="F271" s="550"/>
      <c r="G271" s="550"/>
      <c r="H271" s="676"/>
      <c r="I271" s="676"/>
      <c r="J271" s="675"/>
      <c r="K271" s="550"/>
      <c r="L271" s="941"/>
      <c r="M271" s="942"/>
      <c r="N271" s="550"/>
      <c r="O271" s="550"/>
      <c r="P271" s="550"/>
      <c r="Q271" s="550"/>
      <c r="R271" s="550"/>
      <c r="S271" s="550"/>
      <c r="T271" s="550"/>
      <c r="U271" s="676"/>
      <c r="V271" s="550"/>
      <c r="W271" s="550"/>
      <c r="X271" s="550"/>
      <c r="Y271" s="550"/>
      <c r="Z271" s="678"/>
      <c r="AA271" s="877"/>
      <c r="AB271" s="943"/>
      <c r="AC271" s="944"/>
    </row>
    <row r="272" spans="1:31" ht="21.75" thickBot="1">
      <c r="A272" s="68"/>
      <c r="B272" s="69" t="s">
        <v>318</v>
      </c>
      <c r="C272" s="69"/>
      <c r="D272" s="69"/>
      <c r="E272" s="69"/>
      <c r="F272" s="68"/>
      <c r="G272" s="5"/>
      <c r="H272" s="4"/>
      <c r="I272" s="5"/>
      <c r="J272" s="5"/>
      <c r="K272" s="6"/>
      <c r="L272" s="240" t="s">
        <v>62</v>
      </c>
      <c r="O272" s="2"/>
      <c r="T272" s="240" t="s">
        <v>62</v>
      </c>
      <c r="W272" s="2"/>
      <c r="AA272" s="733"/>
      <c r="AB272" s="734"/>
      <c r="AC272" s="735"/>
      <c r="AD272" s="736"/>
      <c r="AE272" s="737"/>
    </row>
    <row r="273" spans="1:32" ht="20.25" thickBot="1">
      <c r="A273" s="408" t="s">
        <v>132</v>
      </c>
      <c r="B273" s="1670" t="s">
        <v>210</v>
      </c>
      <c r="C273" s="1585" t="s">
        <v>2</v>
      </c>
      <c r="D273" s="1586"/>
      <c r="E273" s="1586"/>
      <c r="F273" s="1591"/>
      <c r="G273" s="85" t="s">
        <v>27</v>
      </c>
      <c r="H273" s="1594" t="s">
        <v>3</v>
      </c>
      <c r="I273" s="1595"/>
      <c r="J273" s="1596"/>
      <c r="K273" s="88" t="s">
        <v>27</v>
      </c>
      <c r="L273" s="1612" t="s">
        <v>4</v>
      </c>
      <c r="M273" s="1612"/>
      <c r="N273" s="1612"/>
      <c r="O273" s="84" t="s">
        <v>27</v>
      </c>
      <c r="P273" s="1613" t="s">
        <v>23</v>
      </c>
      <c r="Q273" s="1613"/>
      <c r="R273" s="1613"/>
      <c r="S273" s="1613"/>
      <c r="T273" s="1576" t="s">
        <v>319</v>
      </c>
      <c r="U273" s="1577"/>
      <c r="V273" s="1577"/>
      <c r="W273" s="1578"/>
      <c r="X273" s="1567" t="s">
        <v>320</v>
      </c>
      <c r="Y273" s="1568"/>
      <c r="Z273" s="1569"/>
      <c r="AA273" s="746"/>
      <c r="AB273" s="620"/>
      <c r="AC273" s="624"/>
      <c r="AD273" s="278"/>
      <c r="AE273" s="579"/>
      <c r="AF273" s="275"/>
    </row>
    <row r="274" spans="1:31" ht="54.75" thickBot="1">
      <c r="A274" s="111" t="s">
        <v>1</v>
      </c>
      <c r="B274" s="1671"/>
      <c r="C274" s="81" t="s">
        <v>5</v>
      </c>
      <c r="D274" s="81" t="s">
        <v>6</v>
      </c>
      <c r="E274" s="81" t="s">
        <v>65</v>
      </c>
      <c r="F274" s="81" t="s">
        <v>211</v>
      </c>
      <c r="G274" s="86" t="s">
        <v>210</v>
      </c>
      <c r="H274" s="87" t="s">
        <v>5</v>
      </c>
      <c r="I274" s="87" t="s">
        <v>6</v>
      </c>
      <c r="J274" s="86" t="s">
        <v>212</v>
      </c>
      <c r="K274" s="115" t="s">
        <v>210</v>
      </c>
      <c r="L274" s="115" t="s">
        <v>5</v>
      </c>
      <c r="M274" s="115" t="s">
        <v>6</v>
      </c>
      <c r="N274" s="115" t="s">
        <v>213</v>
      </c>
      <c r="O274" s="116" t="s">
        <v>210</v>
      </c>
      <c r="P274" s="116" t="s">
        <v>5</v>
      </c>
      <c r="Q274" s="116" t="s">
        <v>64</v>
      </c>
      <c r="R274" s="116" t="s">
        <v>6</v>
      </c>
      <c r="S274" s="116" t="s">
        <v>214</v>
      </c>
      <c r="T274" s="71" t="s">
        <v>104</v>
      </c>
      <c r="U274" s="71" t="s">
        <v>69</v>
      </c>
      <c r="V274" s="71" t="s">
        <v>95</v>
      </c>
      <c r="W274" s="71" t="s">
        <v>99</v>
      </c>
      <c r="X274" s="747" t="s">
        <v>108</v>
      </c>
      <c r="Y274" s="748" t="s">
        <v>69</v>
      </c>
      <c r="Z274" s="749" t="s">
        <v>82</v>
      </c>
      <c r="AA274" s="750" t="s">
        <v>75</v>
      </c>
      <c r="AB274" s="619" t="s">
        <v>169</v>
      </c>
      <c r="AC274" s="623" t="s">
        <v>106</v>
      </c>
      <c r="AD274" s="276" t="s">
        <v>107</v>
      </c>
      <c r="AE274" s="580" t="s">
        <v>160</v>
      </c>
    </row>
    <row r="275" spans="1:31" ht="18.75">
      <c r="A275" s="311" t="s">
        <v>47</v>
      </c>
      <c r="B275" s="74">
        <f aca="true" t="shared" si="166" ref="B275:B299">F244</f>
        <v>118973.36999999994</v>
      </c>
      <c r="C275" s="262">
        <v>13336.39</v>
      </c>
      <c r="D275" s="1092">
        <v>13944.53</v>
      </c>
      <c r="E275" s="279"/>
      <c r="F275" s="74">
        <f>B275+C275-D275</f>
        <v>118365.22999999995</v>
      </c>
      <c r="G275" s="258">
        <f aca="true" t="shared" si="167" ref="G275:G300">J244</f>
        <v>29442.55999999998</v>
      </c>
      <c r="H275" s="1077">
        <v>1334.01</v>
      </c>
      <c r="I275" s="260"/>
      <c r="J275" s="258">
        <f>G275+H275-I275</f>
        <v>30776.569999999978</v>
      </c>
      <c r="K275" s="78">
        <f aca="true" t="shared" si="168" ref="K275:K300">N244</f>
        <v>-5365.19</v>
      </c>
      <c r="L275" s="1069">
        <v>4271.8</v>
      </c>
      <c r="M275" s="588"/>
      <c r="N275" s="108">
        <f>K275+L275-M275</f>
        <v>-1093.3899999999994</v>
      </c>
      <c r="O275" s="274">
        <f aca="true" t="shared" si="169" ref="O275:O300">S244</f>
        <v>-1408.4600000000003</v>
      </c>
      <c r="P275" s="647">
        <v>89.3</v>
      </c>
      <c r="Q275" s="280"/>
      <c r="R275" s="280">
        <v>113.71</v>
      </c>
      <c r="S275" s="263">
        <f>O275+P275-R275</f>
        <v>-1432.8700000000003</v>
      </c>
      <c r="T275" s="144">
        <f>R275</f>
        <v>113.71</v>
      </c>
      <c r="U275" s="144">
        <f>M275</f>
        <v>0</v>
      </c>
      <c r="V275" s="144">
        <f>I275</f>
        <v>0</v>
      </c>
      <c r="W275" s="188">
        <f>T275+U275+V275</f>
        <v>113.71</v>
      </c>
      <c r="X275" s="751">
        <f aca="true" t="shared" si="170" ref="X275:X300">T213+T244+T275</f>
        <v>481.53</v>
      </c>
      <c r="Y275" s="752">
        <f>U213+U244+U275</f>
        <v>8543.6</v>
      </c>
      <c r="Z275" s="752">
        <f aca="true" t="shared" si="171" ref="Z275:Z294">V213+V244+V275</f>
        <v>0</v>
      </c>
      <c r="AA275" s="753">
        <f>X275+Y275+Z275</f>
        <v>9025.130000000001</v>
      </c>
      <c r="AB275" s="620">
        <f>Y275+Z275</f>
        <v>8543.6</v>
      </c>
      <c r="AC275" s="624">
        <f>C275+H275+L275+P275</f>
        <v>19031.5</v>
      </c>
      <c r="AD275" s="771">
        <f>D275+I275+M275+R275</f>
        <v>14058.24</v>
      </c>
      <c r="AE275" s="649">
        <f>D275+R275</f>
        <v>14058.24</v>
      </c>
    </row>
    <row r="276" spans="1:31" ht="18.75">
      <c r="A276" s="311" t="s">
        <v>53</v>
      </c>
      <c r="B276" s="74">
        <f t="shared" si="166"/>
        <v>118159.5900000002</v>
      </c>
      <c r="C276" s="262">
        <v>29784.34</v>
      </c>
      <c r="D276" s="1092">
        <v>25973.11</v>
      </c>
      <c r="E276" s="279"/>
      <c r="F276" s="74">
        <f aca="true" t="shared" si="172" ref="F276:F301">B276+C276-D276</f>
        <v>121970.8200000002</v>
      </c>
      <c r="G276" s="258">
        <f t="shared" si="167"/>
        <v>2423.7400000000002</v>
      </c>
      <c r="H276" s="1077">
        <v>258.4</v>
      </c>
      <c r="I276" s="260"/>
      <c r="J276" s="258">
        <f aca="true" t="shared" si="173" ref="J276:J301">G276+H276-I276</f>
        <v>2682.1400000000003</v>
      </c>
      <c r="K276" s="78">
        <f t="shared" si="168"/>
        <v>-3502.619999999998</v>
      </c>
      <c r="L276" s="1069">
        <v>120.78</v>
      </c>
      <c r="M276" s="1111">
        <v>241.56</v>
      </c>
      <c r="N276" s="108">
        <f aca="true" t="shared" si="174" ref="N276:N301">K276+L276-M276</f>
        <v>-3623.399999999998</v>
      </c>
      <c r="O276" s="274">
        <f t="shared" si="169"/>
        <v>-678.0200000000002</v>
      </c>
      <c r="P276" s="648">
        <v>104.8</v>
      </c>
      <c r="Q276" s="281"/>
      <c r="R276" s="281">
        <v>224.21</v>
      </c>
      <c r="S276" s="263">
        <f aca="true" t="shared" si="175" ref="S276:S301">O276+P276-R276</f>
        <v>-797.4300000000003</v>
      </c>
      <c r="T276" s="144">
        <f aca="true" t="shared" si="176" ref="T276:T301">R276</f>
        <v>224.21</v>
      </c>
      <c r="U276" s="144">
        <f aca="true" t="shared" si="177" ref="U276:U301">M276</f>
        <v>241.56</v>
      </c>
      <c r="V276" s="144">
        <f aca="true" t="shared" si="178" ref="V276:V301">I276</f>
        <v>0</v>
      </c>
      <c r="W276" s="188">
        <f aca="true" t="shared" si="179" ref="W276:W302">T276+U276+V276</f>
        <v>465.77</v>
      </c>
      <c r="X276" s="751">
        <f t="shared" si="170"/>
        <v>328.49</v>
      </c>
      <c r="Y276" s="752">
        <f>U214+U245+U276</f>
        <v>966.24</v>
      </c>
      <c r="Z276" s="752">
        <f t="shared" si="171"/>
        <v>0</v>
      </c>
      <c r="AA276" s="753">
        <f aca="true" t="shared" si="180" ref="AA276:AA300">X276+Y276+Z276</f>
        <v>1294.73</v>
      </c>
      <c r="AB276" s="620">
        <f>Y276+Z276</f>
        <v>966.24</v>
      </c>
      <c r="AC276" s="624">
        <f aca="true" t="shared" si="181" ref="AC276:AC301">C276+H276+L276+P276</f>
        <v>30268.32</v>
      </c>
      <c r="AD276" s="278">
        <f aca="true" t="shared" si="182" ref="AD276:AD301">D276+I276+M276+R276</f>
        <v>26438.88</v>
      </c>
      <c r="AE276" s="649">
        <f aca="true" t="shared" si="183" ref="AE276:AE301">D276+R276</f>
        <v>26197.32</v>
      </c>
    </row>
    <row r="277" spans="1:31" ht="18.75">
      <c r="A277" s="73" t="s">
        <v>8</v>
      </c>
      <c r="B277" s="74">
        <f t="shared" si="166"/>
        <v>74445.62</v>
      </c>
      <c r="C277" s="1095"/>
      <c r="D277" s="1093"/>
      <c r="E277" s="74"/>
      <c r="F277" s="74">
        <f t="shared" si="172"/>
        <v>74445.62</v>
      </c>
      <c r="G277" s="258">
        <f t="shared" si="167"/>
        <v>0</v>
      </c>
      <c r="H277" s="602"/>
      <c r="I277" s="258"/>
      <c r="J277" s="258">
        <f t="shared" si="173"/>
        <v>0</v>
      </c>
      <c r="K277" s="78">
        <f t="shared" si="168"/>
        <v>0</v>
      </c>
      <c r="L277" s="1069"/>
      <c r="M277" s="108"/>
      <c r="N277" s="108">
        <f t="shared" si="174"/>
        <v>0</v>
      </c>
      <c r="O277" s="274">
        <f t="shared" si="169"/>
        <v>0</v>
      </c>
      <c r="P277" s="301"/>
      <c r="Q277" s="263"/>
      <c r="R277" s="263"/>
      <c r="S277" s="263">
        <f t="shared" si="175"/>
        <v>0</v>
      </c>
      <c r="T277" s="144">
        <f t="shared" si="176"/>
        <v>0</v>
      </c>
      <c r="U277" s="144">
        <f t="shared" si="177"/>
        <v>0</v>
      </c>
      <c r="V277" s="144">
        <f t="shared" si="178"/>
        <v>0</v>
      </c>
      <c r="W277" s="188">
        <f t="shared" si="179"/>
        <v>0</v>
      </c>
      <c r="X277" s="751">
        <f t="shared" si="170"/>
        <v>0</v>
      </c>
      <c r="Y277" s="752">
        <f aca="true" t="shared" si="184" ref="Y277:Y299">U215+U246+U277</f>
        <v>0</v>
      </c>
      <c r="Z277" s="752">
        <f t="shared" si="171"/>
        <v>0</v>
      </c>
      <c r="AA277" s="753">
        <f t="shared" si="180"/>
        <v>0</v>
      </c>
      <c r="AB277" s="620">
        <f aca="true" t="shared" si="185" ref="AB277:AB301">Y277+Z277</f>
        <v>0</v>
      </c>
      <c r="AC277" s="624">
        <f t="shared" si="181"/>
        <v>0</v>
      </c>
      <c r="AD277" s="278">
        <f t="shared" si="182"/>
        <v>0</v>
      </c>
      <c r="AE277" s="649">
        <f t="shared" si="183"/>
        <v>0</v>
      </c>
    </row>
    <row r="278" spans="1:31" ht="18.75">
      <c r="A278" s="311" t="s">
        <v>48</v>
      </c>
      <c r="B278" s="74">
        <f t="shared" si="166"/>
        <v>363814.3200000002</v>
      </c>
      <c r="C278" s="1095">
        <v>72292</v>
      </c>
      <c r="D278" s="1094">
        <v>64936.4</v>
      </c>
      <c r="E278" s="74"/>
      <c r="F278" s="74">
        <f t="shared" si="172"/>
        <v>371169.92000000016</v>
      </c>
      <c r="G278" s="258">
        <f t="shared" si="167"/>
        <v>34693.799999999996</v>
      </c>
      <c r="H278" s="1076">
        <v>1241.79</v>
      </c>
      <c r="I278" s="258"/>
      <c r="J278" s="258">
        <f t="shared" si="173"/>
        <v>35935.59</v>
      </c>
      <c r="K278" s="78">
        <f t="shared" si="168"/>
        <v>242.67000000000178</v>
      </c>
      <c r="L278" s="1069">
        <f>1653.07+242.74</f>
        <v>1895.81</v>
      </c>
      <c r="M278" s="625">
        <v>3843.56</v>
      </c>
      <c r="N278" s="108">
        <f t="shared" si="174"/>
        <v>-1705.079999999998</v>
      </c>
      <c r="O278" s="274">
        <f t="shared" si="169"/>
        <v>-2157.6899999999987</v>
      </c>
      <c r="P278" s="301">
        <v>331.86</v>
      </c>
      <c r="Q278" s="263"/>
      <c r="R278" s="263">
        <v>379.75</v>
      </c>
      <c r="S278" s="263">
        <f t="shared" si="175"/>
        <v>-2205.5799999999986</v>
      </c>
      <c r="T278" s="144">
        <f t="shared" si="176"/>
        <v>379.75</v>
      </c>
      <c r="U278" s="144">
        <f t="shared" si="177"/>
        <v>3843.56</v>
      </c>
      <c r="V278" s="144">
        <f t="shared" si="178"/>
        <v>0</v>
      </c>
      <c r="W278" s="188">
        <f t="shared" si="179"/>
        <v>4223.3099999999995</v>
      </c>
      <c r="X278" s="751">
        <f t="shared" si="170"/>
        <v>811.76</v>
      </c>
      <c r="Y278" s="752">
        <f>U216+U247+U278</f>
        <v>9579.22</v>
      </c>
      <c r="Z278" s="752">
        <f t="shared" si="171"/>
        <v>0</v>
      </c>
      <c r="AA278" s="753">
        <f t="shared" si="180"/>
        <v>10390.98</v>
      </c>
      <c r="AB278" s="620">
        <f>Y278+Z278</f>
        <v>9579.22</v>
      </c>
      <c r="AC278" s="624">
        <f t="shared" si="181"/>
        <v>75761.45999999999</v>
      </c>
      <c r="AD278" s="278">
        <f t="shared" si="182"/>
        <v>69159.71</v>
      </c>
      <c r="AE278" s="649">
        <f t="shared" si="183"/>
        <v>65316.15</v>
      </c>
    </row>
    <row r="279" spans="1:31" ht="18.75">
      <c r="A279" s="73" t="s">
        <v>9</v>
      </c>
      <c r="B279" s="74">
        <f t="shared" si="166"/>
        <v>121391.18000000008</v>
      </c>
      <c r="C279" s="1096">
        <v>17965.41</v>
      </c>
      <c r="D279" s="1094">
        <v>15418.42</v>
      </c>
      <c r="E279" s="74"/>
      <c r="F279" s="74">
        <f t="shared" si="172"/>
        <v>123938.17000000009</v>
      </c>
      <c r="G279" s="258">
        <f t="shared" si="167"/>
        <v>42348.59</v>
      </c>
      <c r="H279" s="1076">
        <f>1337.19+99.64</f>
        <v>1436.8300000000002</v>
      </c>
      <c r="I279" s="258"/>
      <c r="J279" s="258">
        <f t="shared" si="173"/>
        <v>43785.42</v>
      </c>
      <c r="K279" s="78">
        <f t="shared" si="168"/>
        <v>0</v>
      </c>
      <c r="L279" s="1069"/>
      <c r="M279" s="108"/>
      <c r="N279" s="108">
        <f t="shared" si="174"/>
        <v>0</v>
      </c>
      <c r="O279" s="274">
        <f t="shared" si="169"/>
        <v>340.12999999999994</v>
      </c>
      <c r="P279" s="301">
        <v>36.12</v>
      </c>
      <c r="Q279" s="263"/>
      <c r="R279" s="263">
        <v>74.34</v>
      </c>
      <c r="S279" s="263">
        <f t="shared" si="175"/>
        <v>301.90999999999997</v>
      </c>
      <c r="T279" s="144">
        <f t="shared" si="176"/>
        <v>74.34</v>
      </c>
      <c r="U279" s="799">
        <f t="shared" si="177"/>
        <v>0</v>
      </c>
      <c r="V279" s="144">
        <f t="shared" si="178"/>
        <v>0</v>
      </c>
      <c r="W279" s="188">
        <f t="shared" si="179"/>
        <v>74.34</v>
      </c>
      <c r="X279" s="751">
        <f t="shared" si="170"/>
        <v>143.19</v>
      </c>
      <c r="Y279" s="752">
        <f t="shared" si="184"/>
        <v>0</v>
      </c>
      <c r="Z279" s="752">
        <f t="shared" si="171"/>
        <v>0</v>
      </c>
      <c r="AA279" s="753">
        <f t="shared" si="180"/>
        <v>143.19</v>
      </c>
      <c r="AB279" s="620">
        <f t="shared" si="185"/>
        <v>0</v>
      </c>
      <c r="AC279" s="624">
        <f t="shared" si="181"/>
        <v>19438.36</v>
      </c>
      <c r="AD279" s="278">
        <f t="shared" si="182"/>
        <v>15492.76</v>
      </c>
      <c r="AE279" s="649">
        <f t="shared" si="183"/>
        <v>15492.76</v>
      </c>
    </row>
    <row r="280" spans="1:31" ht="18.75">
      <c r="A280" s="311" t="s">
        <v>10</v>
      </c>
      <c r="B280" s="74">
        <f t="shared" si="166"/>
        <v>7302.340000000087</v>
      </c>
      <c r="C280" s="1095">
        <v>7795.77</v>
      </c>
      <c r="D280" s="1094">
        <v>6993.14</v>
      </c>
      <c r="E280" s="74"/>
      <c r="F280" s="74">
        <f t="shared" si="172"/>
        <v>8104.970000000088</v>
      </c>
      <c r="G280" s="258">
        <f t="shared" si="167"/>
        <v>0</v>
      </c>
      <c r="H280" s="602"/>
      <c r="I280" s="258"/>
      <c r="J280" s="258">
        <f t="shared" si="173"/>
        <v>0</v>
      </c>
      <c r="K280" s="78">
        <f t="shared" si="168"/>
        <v>0</v>
      </c>
      <c r="L280" s="1040"/>
      <c r="M280" s="108"/>
      <c r="N280" s="108">
        <f t="shared" si="174"/>
        <v>0</v>
      </c>
      <c r="O280" s="274">
        <f t="shared" si="169"/>
        <v>9.409999999999977</v>
      </c>
      <c r="P280" s="301">
        <v>3.42</v>
      </c>
      <c r="Q280" s="263"/>
      <c r="R280" s="263">
        <v>3.34</v>
      </c>
      <c r="S280" s="263">
        <f t="shared" si="175"/>
        <v>9.489999999999977</v>
      </c>
      <c r="T280" s="144">
        <f t="shared" si="176"/>
        <v>3.34</v>
      </c>
      <c r="U280" s="144">
        <f t="shared" si="177"/>
        <v>0</v>
      </c>
      <c r="V280" s="144">
        <f t="shared" si="178"/>
        <v>0</v>
      </c>
      <c r="W280" s="188">
        <f t="shared" si="179"/>
        <v>3.34</v>
      </c>
      <c r="X280" s="751">
        <f t="shared" si="170"/>
        <v>127.46000000000001</v>
      </c>
      <c r="Y280" s="752">
        <f t="shared" si="184"/>
        <v>0</v>
      </c>
      <c r="Z280" s="752">
        <f t="shared" si="171"/>
        <v>0</v>
      </c>
      <c r="AA280" s="753">
        <f t="shared" si="180"/>
        <v>127.46000000000001</v>
      </c>
      <c r="AB280" s="620">
        <f t="shared" si="185"/>
        <v>0</v>
      </c>
      <c r="AC280" s="624">
        <f t="shared" si="181"/>
        <v>7799.1900000000005</v>
      </c>
      <c r="AD280" s="278">
        <f t="shared" si="182"/>
        <v>6996.4800000000005</v>
      </c>
      <c r="AE280" s="649">
        <f t="shared" si="183"/>
        <v>6996.4800000000005</v>
      </c>
    </row>
    <row r="281" spans="1:31" ht="18.75">
      <c r="A281" s="311" t="s">
        <v>11</v>
      </c>
      <c r="B281" s="74">
        <f t="shared" si="166"/>
        <v>7720.030000000037</v>
      </c>
      <c r="C281" s="1095">
        <v>7768.21</v>
      </c>
      <c r="D281" s="1094">
        <v>7414.62</v>
      </c>
      <c r="E281" s="74"/>
      <c r="F281" s="74">
        <f t="shared" si="172"/>
        <v>8073.620000000038</v>
      </c>
      <c r="G281" s="258">
        <f t="shared" si="167"/>
        <v>0</v>
      </c>
      <c r="H281" s="602"/>
      <c r="I281" s="258"/>
      <c r="J281" s="258">
        <f t="shared" si="173"/>
        <v>0</v>
      </c>
      <c r="K281" s="78">
        <f t="shared" si="168"/>
        <v>0</v>
      </c>
      <c r="L281" s="1040"/>
      <c r="M281" s="108"/>
      <c r="N281" s="108">
        <f t="shared" si="174"/>
        <v>0</v>
      </c>
      <c r="O281" s="274">
        <f t="shared" si="169"/>
        <v>41.42</v>
      </c>
      <c r="P281" s="301">
        <v>1.73</v>
      </c>
      <c r="Q281" s="263"/>
      <c r="R281" s="263">
        <v>1.73</v>
      </c>
      <c r="S281" s="263">
        <f t="shared" si="175"/>
        <v>41.42</v>
      </c>
      <c r="T281" s="144">
        <f t="shared" si="176"/>
        <v>1.73</v>
      </c>
      <c r="U281" s="144">
        <f t="shared" si="177"/>
        <v>0</v>
      </c>
      <c r="V281" s="144">
        <f t="shared" si="178"/>
        <v>0</v>
      </c>
      <c r="W281" s="188">
        <f t="shared" si="179"/>
        <v>1.73</v>
      </c>
      <c r="X281" s="751">
        <f t="shared" si="170"/>
        <v>8.73</v>
      </c>
      <c r="Y281" s="752">
        <f t="shared" si="184"/>
        <v>0</v>
      </c>
      <c r="Z281" s="752">
        <f t="shared" si="171"/>
        <v>0</v>
      </c>
      <c r="AA281" s="753">
        <f t="shared" si="180"/>
        <v>8.73</v>
      </c>
      <c r="AB281" s="620">
        <f t="shared" si="185"/>
        <v>0</v>
      </c>
      <c r="AC281" s="624">
        <f t="shared" si="181"/>
        <v>7769.94</v>
      </c>
      <c r="AD281" s="278">
        <f t="shared" si="182"/>
        <v>7416.349999999999</v>
      </c>
      <c r="AE281" s="649">
        <f t="shared" si="183"/>
        <v>7416.349999999999</v>
      </c>
    </row>
    <row r="282" spans="1:31" ht="18.75">
      <c r="A282" s="311" t="s">
        <v>12</v>
      </c>
      <c r="B282" s="74">
        <f t="shared" si="166"/>
        <v>88650.01000000024</v>
      </c>
      <c r="C282" s="1095">
        <v>44465.15</v>
      </c>
      <c r="D282" s="1094">
        <v>45500.66</v>
      </c>
      <c r="E282" s="74"/>
      <c r="F282" s="74">
        <f t="shared" si="172"/>
        <v>87614.50000000023</v>
      </c>
      <c r="G282" s="258">
        <f t="shared" si="167"/>
        <v>11380.159999999998</v>
      </c>
      <c r="H282" s="1076">
        <v>517.28</v>
      </c>
      <c r="I282" s="258"/>
      <c r="J282" s="258">
        <f t="shared" si="173"/>
        <v>11897.439999999999</v>
      </c>
      <c r="K282" s="78">
        <f t="shared" si="168"/>
        <v>1508.3999999999987</v>
      </c>
      <c r="L282" s="1069">
        <v>1526.4</v>
      </c>
      <c r="M282" s="625">
        <v>1526.4</v>
      </c>
      <c r="N282" s="108">
        <f t="shared" si="174"/>
        <v>1508.3999999999987</v>
      </c>
      <c r="O282" s="274">
        <f t="shared" si="169"/>
        <v>346.6299999999999</v>
      </c>
      <c r="P282" s="301">
        <v>81.75</v>
      </c>
      <c r="Q282" s="263"/>
      <c r="R282" s="263">
        <v>60.32</v>
      </c>
      <c r="S282" s="263">
        <f t="shared" si="175"/>
        <v>368.0599999999999</v>
      </c>
      <c r="T282" s="144">
        <f t="shared" si="176"/>
        <v>60.32</v>
      </c>
      <c r="U282" s="144">
        <f t="shared" si="177"/>
        <v>1526.4</v>
      </c>
      <c r="V282" s="144">
        <f t="shared" si="178"/>
        <v>0</v>
      </c>
      <c r="W282" s="188">
        <f t="shared" si="179"/>
        <v>1586.72</v>
      </c>
      <c r="X282" s="751">
        <f t="shared" si="170"/>
        <v>171.57</v>
      </c>
      <c r="Y282" s="752">
        <f t="shared" si="184"/>
        <v>4579.200000000001</v>
      </c>
      <c r="Z282" s="752">
        <f t="shared" si="171"/>
        <v>0</v>
      </c>
      <c r="AA282" s="753">
        <f t="shared" si="180"/>
        <v>4750.77</v>
      </c>
      <c r="AB282" s="620">
        <f t="shared" si="185"/>
        <v>4579.200000000001</v>
      </c>
      <c r="AC282" s="624">
        <f t="shared" si="181"/>
        <v>46590.58</v>
      </c>
      <c r="AD282" s="278">
        <f t="shared" si="182"/>
        <v>47087.380000000005</v>
      </c>
      <c r="AE282" s="649">
        <f t="shared" si="183"/>
        <v>45560.98</v>
      </c>
    </row>
    <row r="283" spans="1:31" ht="18.75">
      <c r="A283" s="73" t="s">
        <v>13</v>
      </c>
      <c r="B283" s="74">
        <f t="shared" si="166"/>
        <v>57214.61000000003</v>
      </c>
      <c r="C283" s="1095">
        <v>26273.16</v>
      </c>
      <c r="D283" s="1094">
        <v>27945.46</v>
      </c>
      <c r="E283" s="74"/>
      <c r="F283" s="74">
        <f t="shared" si="172"/>
        <v>55542.310000000034</v>
      </c>
      <c r="G283" s="258">
        <f t="shared" si="167"/>
        <v>4010.5099999999984</v>
      </c>
      <c r="H283" s="1076">
        <v>174.37</v>
      </c>
      <c r="I283" s="258"/>
      <c r="J283" s="258">
        <f t="shared" si="173"/>
        <v>4184.879999999998</v>
      </c>
      <c r="K283" s="78">
        <f t="shared" si="168"/>
        <v>-1645.01</v>
      </c>
      <c r="L283" s="1069">
        <v>645.01</v>
      </c>
      <c r="M283" s="625">
        <v>1290.02</v>
      </c>
      <c r="N283" s="108">
        <f t="shared" si="174"/>
        <v>-2290.02</v>
      </c>
      <c r="O283" s="274">
        <f t="shared" si="169"/>
        <v>161.4500000000001</v>
      </c>
      <c r="P283" s="301">
        <v>227.53</v>
      </c>
      <c r="Q283" s="263"/>
      <c r="R283" s="263">
        <v>121.19</v>
      </c>
      <c r="S283" s="263">
        <f t="shared" si="175"/>
        <v>267.79000000000013</v>
      </c>
      <c r="T283" s="144">
        <f t="shared" si="176"/>
        <v>121.19</v>
      </c>
      <c r="U283" s="144">
        <f t="shared" si="177"/>
        <v>1290.02</v>
      </c>
      <c r="V283" s="144">
        <f t="shared" si="178"/>
        <v>0</v>
      </c>
      <c r="W283" s="188">
        <f t="shared" si="179"/>
        <v>1411.21</v>
      </c>
      <c r="X283" s="751">
        <f t="shared" si="170"/>
        <v>282.03999999999996</v>
      </c>
      <c r="Y283" s="752">
        <f t="shared" si="184"/>
        <v>1935.03</v>
      </c>
      <c r="Z283" s="752">
        <f t="shared" si="171"/>
        <v>0</v>
      </c>
      <c r="AA283" s="753">
        <f t="shared" si="180"/>
        <v>2217.0699999999997</v>
      </c>
      <c r="AB283" s="620">
        <f t="shared" si="185"/>
        <v>1935.03</v>
      </c>
      <c r="AC283" s="624">
        <f t="shared" si="181"/>
        <v>27320.069999999996</v>
      </c>
      <c r="AD283" s="278">
        <f t="shared" si="182"/>
        <v>29356.67</v>
      </c>
      <c r="AE283" s="649">
        <f t="shared" si="183"/>
        <v>28066.649999999998</v>
      </c>
    </row>
    <row r="284" spans="1:31" ht="18.75">
      <c r="A284" s="73" t="s">
        <v>14</v>
      </c>
      <c r="B284" s="74">
        <f t="shared" si="166"/>
        <v>55434.13000000006</v>
      </c>
      <c r="C284" s="1095">
        <v>32415.33</v>
      </c>
      <c r="D284" s="1094">
        <v>31341.9</v>
      </c>
      <c r="E284" s="74"/>
      <c r="F284" s="74">
        <f t="shared" si="172"/>
        <v>56507.56000000006</v>
      </c>
      <c r="G284" s="258">
        <f t="shared" si="167"/>
        <v>5420.839999999997</v>
      </c>
      <c r="H284" s="602"/>
      <c r="I284" s="258"/>
      <c r="J284" s="258">
        <f t="shared" si="173"/>
        <v>5420.839999999997</v>
      </c>
      <c r="K284" s="78">
        <f t="shared" si="168"/>
        <v>5259.549999999998</v>
      </c>
      <c r="L284" s="1069">
        <f>2593.29</f>
        <v>2593.29</v>
      </c>
      <c r="M284" s="625">
        <v>2728.44</v>
      </c>
      <c r="N284" s="108">
        <f t="shared" si="174"/>
        <v>5124.399999999998</v>
      </c>
      <c r="O284" s="274">
        <f t="shared" si="169"/>
        <v>-340.98</v>
      </c>
      <c r="P284" s="301">
        <v>69.37</v>
      </c>
      <c r="Q284" s="263"/>
      <c r="R284" s="263">
        <v>5.88</v>
      </c>
      <c r="S284" s="263">
        <f t="shared" si="175"/>
        <v>-277.49</v>
      </c>
      <c r="T284" s="144">
        <f t="shared" si="176"/>
        <v>5.88</v>
      </c>
      <c r="U284" s="144">
        <f t="shared" si="177"/>
        <v>2728.44</v>
      </c>
      <c r="V284" s="144">
        <f t="shared" si="178"/>
        <v>0</v>
      </c>
      <c r="W284" s="188">
        <f t="shared" si="179"/>
        <v>2734.32</v>
      </c>
      <c r="X284" s="751">
        <f t="shared" si="170"/>
        <v>23.18</v>
      </c>
      <c r="Y284" s="752">
        <f t="shared" si="184"/>
        <v>6519.530000000001</v>
      </c>
      <c r="Z284" s="752">
        <f t="shared" si="171"/>
        <v>0</v>
      </c>
      <c r="AA284" s="753">
        <f t="shared" si="180"/>
        <v>6542.710000000001</v>
      </c>
      <c r="AB284" s="620">
        <f t="shared" si="185"/>
        <v>6519.530000000001</v>
      </c>
      <c r="AC284" s="624">
        <f t="shared" si="181"/>
        <v>35077.990000000005</v>
      </c>
      <c r="AD284" s="278">
        <f t="shared" si="182"/>
        <v>34076.22</v>
      </c>
      <c r="AE284" s="649">
        <f t="shared" si="183"/>
        <v>31347.780000000002</v>
      </c>
    </row>
    <row r="285" spans="1:31" ht="18.75">
      <c r="A285" s="311" t="s">
        <v>55</v>
      </c>
      <c r="B285" s="74">
        <f t="shared" si="166"/>
        <v>47869.15000000001</v>
      </c>
      <c r="C285" s="1095">
        <v>14758.92</v>
      </c>
      <c r="D285" s="1094">
        <v>12949.95</v>
      </c>
      <c r="E285" s="74"/>
      <c r="F285" s="74">
        <f t="shared" si="172"/>
        <v>49678.12000000001</v>
      </c>
      <c r="G285" s="258">
        <f t="shared" si="167"/>
        <v>4081</v>
      </c>
      <c r="H285" s="1076">
        <v>185.5</v>
      </c>
      <c r="I285" s="258"/>
      <c r="J285" s="258">
        <f t="shared" si="173"/>
        <v>4266.5</v>
      </c>
      <c r="K285" s="78">
        <f t="shared" si="168"/>
        <v>1861.4800000000027</v>
      </c>
      <c r="L285" s="1069">
        <v>372.59</v>
      </c>
      <c r="M285" s="108"/>
      <c r="N285" s="108">
        <f t="shared" si="174"/>
        <v>2234.070000000003</v>
      </c>
      <c r="O285" s="274">
        <f t="shared" si="169"/>
        <v>-74.25999999999999</v>
      </c>
      <c r="P285" s="301">
        <v>92.25</v>
      </c>
      <c r="Q285" s="263"/>
      <c r="R285" s="263">
        <v>92.25</v>
      </c>
      <c r="S285" s="263">
        <f t="shared" si="175"/>
        <v>-74.25999999999999</v>
      </c>
      <c r="T285" s="144">
        <f t="shared" si="176"/>
        <v>92.25</v>
      </c>
      <c r="U285" s="144">
        <f t="shared" si="177"/>
        <v>0</v>
      </c>
      <c r="V285" s="144">
        <f t="shared" si="178"/>
        <v>0</v>
      </c>
      <c r="W285" s="188">
        <f t="shared" si="179"/>
        <v>92.25</v>
      </c>
      <c r="X285" s="751">
        <f t="shared" si="170"/>
        <v>107.51</v>
      </c>
      <c r="Y285" s="752">
        <f t="shared" si="184"/>
        <v>1490.36</v>
      </c>
      <c r="Z285" s="752">
        <f t="shared" si="171"/>
        <v>0</v>
      </c>
      <c r="AA285" s="753">
        <f t="shared" si="180"/>
        <v>1597.87</v>
      </c>
      <c r="AB285" s="620">
        <f t="shared" si="185"/>
        <v>1490.36</v>
      </c>
      <c r="AC285" s="624">
        <f t="shared" si="181"/>
        <v>15409.26</v>
      </c>
      <c r="AD285" s="278">
        <f t="shared" si="182"/>
        <v>13042.2</v>
      </c>
      <c r="AE285" s="649">
        <f t="shared" si="183"/>
        <v>13042.2</v>
      </c>
    </row>
    <row r="286" spans="1:31" ht="18.75">
      <c r="A286" s="73" t="s">
        <v>15</v>
      </c>
      <c r="B286" s="74">
        <f t="shared" si="166"/>
        <v>108769.44000000032</v>
      </c>
      <c r="C286" s="1095">
        <v>34705.99</v>
      </c>
      <c r="D286" s="1094">
        <v>34445.95</v>
      </c>
      <c r="E286" s="74"/>
      <c r="F286" s="74">
        <f t="shared" si="172"/>
        <v>109029.48000000032</v>
      </c>
      <c r="G286" s="258">
        <f t="shared" si="167"/>
        <v>0</v>
      </c>
      <c r="H286" s="602"/>
      <c r="I286" s="258"/>
      <c r="J286" s="258">
        <f t="shared" si="173"/>
        <v>0</v>
      </c>
      <c r="K286" s="78">
        <f t="shared" si="168"/>
        <v>-3391.4700000000003</v>
      </c>
      <c r="L286" s="1069">
        <v>1957.82</v>
      </c>
      <c r="M286" s="144"/>
      <c r="N286" s="108">
        <f>K286+L286-M286</f>
        <v>-1433.6500000000003</v>
      </c>
      <c r="O286" s="274">
        <f t="shared" si="169"/>
        <v>541.8799999999997</v>
      </c>
      <c r="P286" s="301">
        <v>165.32</v>
      </c>
      <c r="Q286" s="263"/>
      <c r="R286" s="263">
        <v>132.75</v>
      </c>
      <c r="S286" s="263">
        <f t="shared" si="175"/>
        <v>574.4499999999996</v>
      </c>
      <c r="T286" s="144">
        <f t="shared" si="176"/>
        <v>132.75</v>
      </c>
      <c r="U286" s="144">
        <f>M286</f>
        <v>0</v>
      </c>
      <c r="V286" s="144">
        <f t="shared" si="178"/>
        <v>0</v>
      </c>
      <c r="W286" s="188">
        <f>T286+U286+V286</f>
        <v>132.75</v>
      </c>
      <c r="X286" s="751">
        <f t="shared" si="170"/>
        <v>349.74</v>
      </c>
      <c r="Y286" s="752">
        <f t="shared" si="184"/>
        <v>3206.5</v>
      </c>
      <c r="Z286" s="752">
        <f t="shared" si="171"/>
        <v>0</v>
      </c>
      <c r="AA286" s="753">
        <f t="shared" si="180"/>
        <v>3556.24</v>
      </c>
      <c r="AB286" s="620">
        <f t="shared" si="185"/>
        <v>3206.5</v>
      </c>
      <c r="AC286" s="624">
        <f t="shared" si="181"/>
        <v>36829.13</v>
      </c>
      <c r="AD286" s="278">
        <f t="shared" si="182"/>
        <v>34578.7</v>
      </c>
      <c r="AE286" s="649">
        <f t="shared" si="183"/>
        <v>34578.7</v>
      </c>
    </row>
    <row r="287" spans="1:31" ht="18.75">
      <c r="A287" s="311" t="s">
        <v>16</v>
      </c>
      <c r="B287" s="74">
        <f t="shared" si="166"/>
        <v>32444.01000000007</v>
      </c>
      <c r="C287" s="1095">
        <v>28244.23</v>
      </c>
      <c r="D287" s="1094">
        <v>28995.64</v>
      </c>
      <c r="E287" s="74"/>
      <c r="F287" s="74">
        <f t="shared" si="172"/>
        <v>31692.60000000007</v>
      </c>
      <c r="G287" s="258">
        <f t="shared" si="167"/>
        <v>0</v>
      </c>
      <c r="H287" s="602"/>
      <c r="I287" s="258"/>
      <c r="J287" s="258">
        <f t="shared" si="173"/>
        <v>0</v>
      </c>
      <c r="K287" s="78">
        <f t="shared" si="168"/>
        <v>1454.8500000000022</v>
      </c>
      <c r="L287" s="1069">
        <v>290.97</v>
      </c>
      <c r="M287" s="144"/>
      <c r="N287" s="108">
        <f t="shared" si="174"/>
        <v>1745.8200000000022</v>
      </c>
      <c r="O287" s="274">
        <f t="shared" si="169"/>
        <v>84.49999999999999</v>
      </c>
      <c r="P287" s="301">
        <v>63.81</v>
      </c>
      <c r="Q287" s="263"/>
      <c r="R287" s="263">
        <v>64.55</v>
      </c>
      <c r="S287" s="263">
        <f t="shared" si="175"/>
        <v>83.76</v>
      </c>
      <c r="T287" s="144">
        <f t="shared" si="176"/>
        <v>64.55</v>
      </c>
      <c r="U287" s="144">
        <f t="shared" si="177"/>
        <v>0</v>
      </c>
      <c r="V287" s="144">
        <f t="shared" si="178"/>
        <v>0</v>
      </c>
      <c r="W287" s="188">
        <f t="shared" si="179"/>
        <v>64.55</v>
      </c>
      <c r="X287" s="751">
        <f t="shared" si="170"/>
        <v>78.75</v>
      </c>
      <c r="Y287" s="752">
        <f>U225+U256+U287</f>
        <v>1163.88</v>
      </c>
      <c r="Z287" s="752">
        <f t="shared" si="171"/>
        <v>0</v>
      </c>
      <c r="AA287" s="753">
        <f t="shared" si="180"/>
        <v>1242.63</v>
      </c>
      <c r="AB287" s="620">
        <f t="shared" si="185"/>
        <v>1163.88</v>
      </c>
      <c r="AC287" s="624">
        <f>C287+H287+L287+P287</f>
        <v>28599.010000000002</v>
      </c>
      <c r="AD287" s="278">
        <f t="shared" si="182"/>
        <v>29060.19</v>
      </c>
      <c r="AE287" s="649">
        <f t="shared" si="183"/>
        <v>29060.19</v>
      </c>
    </row>
    <row r="288" spans="1:31" ht="18.75">
      <c r="A288" s="73" t="s">
        <v>17</v>
      </c>
      <c r="B288" s="74">
        <f t="shared" si="166"/>
        <v>55567.290000000285</v>
      </c>
      <c r="C288" s="1095">
        <v>36774.58</v>
      </c>
      <c r="D288" s="1094">
        <v>36720.51</v>
      </c>
      <c r="E288" s="74"/>
      <c r="F288" s="74">
        <f t="shared" si="172"/>
        <v>55621.360000000284</v>
      </c>
      <c r="G288" s="258">
        <f t="shared" si="167"/>
        <v>8103.7000000000035</v>
      </c>
      <c r="H288" s="1076">
        <v>368.35</v>
      </c>
      <c r="I288" s="258"/>
      <c r="J288" s="258">
        <f t="shared" si="173"/>
        <v>8472.050000000003</v>
      </c>
      <c r="K288" s="78">
        <f t="shared" si="168"/>
        <v>619.5699999999998</v>
      </c>
      <c r="L288" s="1069">
        <v>619.57</v>
      </c>
      <c r="M288" s="625">
        <v>619.57</v>
      </c>
      <c r="N288" s="108">
        <f t="shared" si="174"/>
        <v>619.5699999999998</v>
      </c>
      <c r="O288" s="274">
        <f t="shared" si="169"/>
        <v>111.23000000000005</v>
      </c>
      <c r="P288" s="301">
        <v>46.92</v>
      </c>
      <c r="Q288" s="263"/>
      <c r="R288" s="263">
        <v>44.82</v>
      </c>
      <c r="S288" s="263">
        <f t="shared" si="175"/>
        <v>113.33000000000004</v>
      </c>
      <c r="T288" s="144">
        <f t="shared" si="176"/>
        <v>44.82</v>
      </c>
      <c r="U288" s="799">
        <f t="shared" si="177"/>
        <v>619.57</v>
      </c>
      <c r="V288" s="144">
        <f t="shared" si="178"/>
        <v>0</v>
      </c>
      <c r="W288" s="188">
        <f t="shared" si="179"/>
        <v>664.3900000000001</v>
      </c>
      <c r="X288" s="751">
        <f t="shared" si="170"/>
        <v>53.79</v>
      </c>
      <c r="Y288" s="752">
        <f>U226+U257+U288</f>
        <v>2478.28</v>
      </c>
      <c r="Z288" s="752">
        <f t="shared" si="171"/>
        <v>0</v>
      </c>
      <c r="AA288" s="753">
        <f t="shared" si="180"/>
        <v>2532.07</v>
      </c>
      <c r="AB288" s="620">
        <f t="shared" si="185"/>
        <v>2478.28</v>
      </c>
      <c r="AC288" s="624">
        <f t="shared" si="181"/>
        <v>37809.42</v>
      </c>
      <c r="AD288" s="278">
        <f t="shared" si="182"/>
        <v>37384.9</v>
      </c>
      <c r="AE288" s="649">
        <f t="shared" si="183"/>
        <v>36765.33</v>
      </c>
    </row>
    <row r="289" spans="1:31" ht="18.75">
      <c r="A289" s="311" t="s">
        <v>18</v>
      </c>
      <c r="B289" s="74">
        <f t="shared" si="166"/>
        <v>156607.9000000001</v>
      </c>
      <c r="C289" s="1095">
        <v>78377.46</v>
      </c>
      <c r="D289" s="1094">
        <v>71595.77</v>
      </c>
      <c r="E289" s="74"/>
      <c r="F289" s="74">
        <f t="shared" si="172"/>
        <v>163389.59000000008</v>
      </c>
      <c r="G289" s="258">
        <f t="shared" si="167"/>
        <v>840.0499999999986</v>
      </c>
      <c r="H289" s="602"/>
      <c r="I289" s="258"/>
      <c r="J289" s="258">
        <f t="shared" si="173"/>
        <v>840.0499999999986</v>
      </c>
      <c r="K289" s="78">
        <f t="shared" si="168"/>
        <v>1052.0500000000002</v>
      </c>
      <c r="L289" s="1069">
        <v>2216.46</v>
      </c>
      <c r="M289" s="625">
        <v>2897.51</v>
      </c>
      <c r="N289" s="108">
        <f t="shared" si="174"/>
        <v>371</v>
      </c>
      <c r="O289" s="274">
        <f t="shared" si="169"/>
        <v>187.6700000000002</v>
      </c>
      <c r="P289" s="301">
        <v>70.02</v>
      </c>
      <c r="Q289" s="263"/>
      <c r="R289" s="263">
        <v>71.9</v>
      </c>
      <c r="S289" s="263">
        <f t="shared" si="175"/>
        <v>185.79000000000016</v>
      </c>
      <c r="T289" s="144">
        <f t="shared" si="176"/>
        <v>71.9</v>
      </c>
      <c r="U289" s="144">
        <f t="shared" si="177"/>
        <v>2897.51</v>
      </c>
      <c r="V289" s="144">
        <f t="shared" si="178"/>
        <v>0</v>
      </c>
      <c r="W289" s="188">
        <f t="shared" si="179"/>
        <v>2969.4100000000003</v>
      </c>
      <c r="X289" s="751">
        <f t="shared" si="170"/>
        <v>289.91999999999996</v>
      </c>
      <c r="Y289" s="752">
        <f t="shared" si="184"/>
        <v>5963.030000000001</v>
      </c>
      <c r="Z289" s="752">
        <f t="shared" si="171"/>
        <v>0</v>
      </c>
      <c r="AA289" s="753">
        <f t="shared" si="180"/>
        <v>6252.950000000001</v>
      </c>
      <c r="AB289" s="620">
        <f t="shared" si="185"/>
        <v>5963.030000000001</v>
      </c>
      <c r="AC289" s="624">
        <f t="shared" si="181"/>
        <v>80663.94000000002</v>
      </c>
      <c r="AD289" s="278">
        <f t="shared" si="182"/>
        <v>74565.18</v>
      </c>
      <c r="AE289" s="649">
        <f t="shared" si="183"/>
        <v>71667.67</v>
      </c>
    </row>
    <row r="290" spans="1:31" ht="18.75">
      <c r="A290" s="311" t="s">
        <v>54</v>
      </c>
      <c r="B290" s="74">
        <f t="shared" si="166"/>
        <v>57722.16000000034</v>
      </c>
      <c r="C290" s="1095">
        <v>33617.9</v>
      </c>
      <c r="D290" s="1094">
        <v>31845.27</v>
      </c>
      <c r="E290" s="74"/>
      <c r="F290" s="74">
        <f t="shared" si="172"/>
        <v>59494.79000000034</v>
      </c>
      <c r="G290" s="258">
        <f t="shared" si="167"/>
        <v>6661.980000000001</v>
      </c>
      <c r="H290" s="1076">
        <v>261.82</v>
      </c>
      <c r="I290" s="258"/>
      <c r="J290" s="258">
        <f t="shared" si="173"/>
        <v>6923.800000000001</v>
      </c>
      <c r="K290" s="78">
        <f t="shared" si="168"/>
        <v>0</v>
      </c>
      <c r="L290" s="1040"/>
      <c r="M290" s="108"/>
      <c r="N290" s="108">
        <f t="shared" si="174"/>
        <v>0</v>
      </c>
      <c r="O290" s="274">
        <f t="shared" si="169"/>
        <v>-1832.1999999999998</v>
      </c>
      <c r="P290" s="301">
        <v>33.11</v>
      </c>
      <c r="Q290" s="263"/>
      <c r="R290" s="263">
        <v>27.27</v>
      </c>
      <c r="S290" s="263">
        <f t="shared" si="175"/>
        <v>-1826.36</v>
      </c>
      <c r="T290" s="144">
        <f t="shared" si="176"/>
        <v>27.27</v>
      </c>
      <c r="U290" s="144">
        <f t="shared" si="177"/>
        <v>0</v>
      </c>
      <c r="V290" s="144">
        <f t="shared" si="178"/>
        <v>0</v>
      </c>
      <c r="W290" s="188">
        <f t="shared" si="179"/>
        <v>27.27</v>
      </c>
      <c r="X290" s="751">
        <f t="shared" si="170"/>
        <v>962.24</v>
      </c>
      <c r="Y290" s="752">
        <f t="shared" si="184"/>
        <v>0</v>
      </c>
      <c r="Z290" s="752">
        <f t="shared" si="171"/>
        <v>0</v>
      </c>
      <c r="AA290" s="753">
        <f t="shared" si="180"/>
        <v>962.24</v>
      </c>
      <c r="AB290" s="620">
        <f t="shared" si="185"/>
        <v>0</v>
      </c>
      <c r="AC290" s="624">
        <f t="shared" si="181"/>
        <v>33912.83</v>
      </c>
      <c r="AD290" s="278">
        <f t="shared" si="182"/>
        <v>31872.54</v>
      </c>
      <c r="AE290" s="649">
        <f t="shared" si="183"/>
        <v>31872.54</v>
      </c>
    </row>
    <row r="291" spans="1:31" ht="18.75">
      <c r="A291" s="311" t="s">
        <v>49</v>
      </c>
      <c r="B291" s="74">
        <f t="shared" si="166"/>
        <v>197112.94000000018</v>
      </c>
      <c r="C291" s="1095">
        <v>71492.24</v>
      </c>
      <c r="D291" s="1094">
        <v>66711.23</v>
      </c>
      <c r="E291" s="74"/>
      <c r="F291" s="74">
        <f t="shared" si="172"/>
        <v>201893.9500000002</v>
      </c>
      <c r="G291" s="258">
        <f t="shared" si="167"/>
        <v>17979.72</v>
      </c>
      <c r="H291" s="1076">
        <v>817.26</v>
      </c>
      <c r="I291" s="258"/>
      <c r="J291" s="258">
        <f t="shared" si="173"/>
        <v>18796.98</v>
      </c>
      <c r="K291" s="78">
        <f t="shared" si="168"/>
        <v>3627.960000000004</v>
      </c>
      <c r="L291" s="1069">
        <v>3023.65</v>
      </c>
      <c r="M291" s="625">
        <v>2122.65</v>
      </c>
      <c r="N291" s="108">
        <f t="shared" si="174"/>
        <v>4528.960000000005</v>
      </c>
      <c r="O291" s="274">
        <f t="shared" si="169"/>
        <v>-997.2100000000003</v>
      </c>
      <c r="P291" s="301">
        <v>103.98</v>
      </c>
      <c r="Q291" s="263"/>
      <c r="R291" s="263">
        <v>110.21</v>
      </c>
      <c r="S291" s="263">
        <f t="shared" si="175"/>
        <v>-1003.4400000000003</v>
      </c>
      <c r="T291" s="144">
        <f t="shared" si="176"/>
        <v>110.21</v>
      </c>
      <c r="U291" s="144">
        <f t="shared" si="177"/>
        <v>2122.65</v>
      </c>
      <c r="V291" s="144">
        <f t="shared" si="178"/>
        <v>0</v>
      </c>
      <c r="W291" s="188">
        <f t="shared" si="179"/>
        <v>2232.86</v>
      </c>
      <c r="X291" s="751">
        <f t="shared" si="170"/>
        <v>377.33</v>
      </c>
      <c r="Y291" s="752">
        <f t="shared" si="184"/>
        <v>6547.620000000001</v>
      </c>
      <c r="Z291" s="752">
        <f t="shared" si="171"/>
        <v>0</v>
      </c>
      <c r="AA291" s="753">
        <f t="shared" si="180"/>
        <v>6924.950000000001</v>
      </c>
      <c r="AB291" s="620">
        <f t="shared" si="185"/>
        <v>6547.620000000001</v>
      </c>
      <c r="AC291" s="624">
        <f t="shared" si="181"/>
        <v>75437.12999999999</v>
      </c>
      <c r="AD291" s="278">
        <f t="shared" si="182"/>
        <v>68944.09</v>
      </c>
      <c r="AE291" s="649">
        <f t="shared" si="183"/>
        <v>66821.44</v>
      </c>
    </row>
    <row r="292" spans="1:31" ht="18.75">
      <c r="A292" s="73" t="s">
        <v>19</v>
      </c>
      <c r="B292" s="74">
        <f t="shared" si="166"/>
        <v>86468.18999999997</v>
      </c>
      <c r="C292" s="1095">
        <v>52752.49</v>
      </c>
      <c r="D292" s="1094">
        <v>50481.8</v>
      </c>
      <c r="E292" s="74"/>
      <c r="F292" s="74">
        <f t="shared" si="172"/>
        <v>88738.87999999996</v>
      </c>
      <c r="G292" s="258">
        <f t="shared" si="167"/>
        <v>8252.749999999996</v>
      </c>
      <c r="H292" s="1076">
        <v>356.69</v>
      </c>
      <c r="I292" s="258"/>
      <c r="J292" s="258">
        <f t="shared" si="173"/>
        <v>8609.439999999997</v>
      </c>
      <c r="K292" s="78">
        <f t="shared" si="168"/>
        <v>2184.7800000000007</v>
      </c>
      <c r="L292" s="1069">
        <v>1041.98</v>
      </c>
      <c r="M292" s="625">
        <v>732.46</v>
      </c>
      <c r="N292" s="108">
        <f t="shared" si="174"/>
        <v>2494.3000000000006</v>
      </c>
      <c r="O292" s="274">
        <f t="shared" si="169"/>
        <v>911.3800000000006</v>
      </c>
      <c r="P292" s="301">
        <v>442.05</v>
      </c>
      <c r="Q292" s="263"/>
      <c r="R292" s="263">
        <v>40.05</v>
      </c>
      <c r="S292" s="263">
        <f t="shared" si="175"/>
        <v>1313.3800000000006</v>
      </c>
      <c r="T292" s="144">
        <f t="shared" si="176"/>
        <v>40.05</v>
      </c>
      <c r="U292" s="799">
        <f t="shared" si="177"/>
        <v>732.46</v>
      </c>
      <c r="V292" s="144">
        <f t="shared" si="178"/>
        <v>0</v>
      </c>
      <c r="W292" s="188">
        <f t="shared" si="179"/>
        <v>772.51</v>
      </c>
      <c r="X292" s="751">
        <f t="shared" si="170"/>
        <v>384.77000000000004</v>
      </c>
      <c r="Y292" s="752">
        <f t="shared" si="184"/>
        <v>1843.87</v>
      </c>
      <c r="Z292" s="752">
        <f t="shared" si="171"/>
        <v>0</v>
      </c>
      <c r="AA292" s="753">
        <f t="shared" si="180"/>
        <v>2228.64</v>
      </c>
      <c r="AB292" s="620">
        <f t="shared" si="185"/>
        <v>1843.87</v>
      </c>
      <c r="AC292" s="624">
        <f t="shared" si="181"/>
        <v>54593.21000000001</v>
      </c>
      <c r="AD292" s="278">
        <f t="shared" si="182"/>
        <v>51254.310000000005</v>
      </c>
      <c r="AE292" s="649">
        <f t="shared" si="183"/>
        <v>50521.850000000006</v>
      </c>
    </row>
    <row r="293" spans="1:31" ht="18.75">
      <c r="A293" s="311" t="s">
        <v>20</v>
      </c>
      <c r="B293" s="74">
        <f t="shared" si="166"/>
        <v>64786.720000000074</v>
      </c>
      <c r="C293" s="1095">
        <v>34274.05</v>
      </c>
      <c r="D293" s="1094">
        <v>32160.02</v>
      </c>
      <c r="E293" s="74"/>
      <c r="F293" s="74">
        <f t="shared" si="172"/>
        <v>66900.75000000007</v>
      </c>
      <c r="G293" s="258">
        <f t="shared" si="167"/>
        <v>0</v>
      </c>
      <c r="H293" s="603"/>
      <c r="I293" s="258"/>
      <c r="J293" s="258">
        <f t="shared" si="173"/>
        <v>0</v>
      </c>
      <c r="K293" s="78">
        <f t="shared" si="168"/>
        <v>4051.5699999999997</v>
      </c>
      <c r="L293" s="1071">
        <v>689</v>
      </c>
      <c r="M293" s="183"/>
      <c r="N293" s="108">
        <f t="shared" si="174"/>
        <v>4740.57</v>
      </c>
      <c r="O293" s="274">
        <f t="shared" si="169"/>
        <v>128.52999999999992</v>
      </c>
      <c r="P293" s="301">
        <v>36.71</v>
      </c>
      <c r="Q293" s="263"/>
      <c r="R293" s="263">
        <v>21.51</v>
      </c>
      <c r="S293" s="263">
        <f t="shared" si="175"/>
        <v>143.72999999999993</v>
      </c>
      <c r="T293" s="144">
        <f t="shared" si="176"/>
        <v>21.51</v>
      </c>
      <c r="U293" s="144">
        <f t="shared" si="177"/>
        <v>0</v>
      </c>
      <c r="V293" s="144">
        <f t="shared" si="178"/>
        <v>0</v>
      </c>
      <c r="W293" s="188">
        <f t="shared" si="179"/>
        <v>21.51</v>
      </c>
      <c r="X293" s="751">
        <f t="shared" si="170"/>
        <v>34.34</v>
      </c>
      <c r="Y293" s="752">
        <f t="shared" si="184"/>
        <v>689</v>
      </c>
      <c r="Z293" s="752">
        <f t="shared" si="171"/>
        <v>0</v>
      </c>
      <c r="AA293" s="753">
        <f t="shared" si="180"/>
        <v>723.34</v>
      </c>
      <c r="AB293" s="620">
        <f t="shared" si="185"/>
        <v>689</v>
      </c>
      <c r="AC293" s="624">
        <f t="shared" si="181"/>
        <v>34999.76</v>
      </c>
      <c r="AD293" s="278">
        <f t="shared" si="182"/>
        <v>32181.53</v>
      </c>
      <c r="AE293" s="649">
        <f t="shared" si="183"/>
        <v>32181.53</v>
      </c>
    </row>
    <row r="294" spans="1:31" ht="18.75">
      <c r="A294" s="311" t="s">
        <v>137</v>
      </c>
      <c r="B294" s="74">
        <f t="shared" si="166"/>
        <v>-446195.10000000044</v>
      </c>
      <c r="C294" s="1095">
        <v>41833.43</v>
      </c>
      <c r="D294" s="1094">
        <v>35931.68</v>
      </c>
      <c r="E294" s="74"/>
      <c r="F294" s="74">
        <f t="shared" si="172"/>
        <v>-440293.35000000044</v>
      </c>
      <c r="G294" s="258">
        <f t="shared" si="167"/>
        <v>2418.39</v>
      </c>
      <c r="H294" s="1078">
        <v>268.71</v>
      </c>
      <c r="I294" s="258"/>
      <c r="J294" s="258">
        <f t="shared" si="173"/>
        <v>2687.1</v>
      </c>
      <c r="K294" s="78">
        <f t="shared" si="168"/>
        <v>1421.96</v>
      </c>
      <c r="L294" s="1070">
        <v>1421.46</v>
      </c>
      <c r="M294" s="626">
        <v>1421.46</v>
      </c>
      <c r="N294" s="108">
        <f t="shared" si="174"/>
        <v>1421.96</v>
      </c>
      <c r="O294" s="274">
        <f t="shared" si="169"/>
        <v>69.78999999999999</v>
      </c>
      <c r="P294" s="301">
        <v>71.53</v>
      </c>
      <c r="Q294" s="263"/>
      <c r="R294" s="263">
        <v>78.91</v>
      </c>
      <c r="S294" s="263">
        <f t="shared" si="175"/>
        <v>62.41</v>
      </c>
      <c r="T294" s="144">
        <f t="shared" si="176"/>
        <v>78.91</v>
      </c>
      <c r="U294" s="144">
        <f t="shared" si="177"/>
        <v>1421.46</v>
      </c>
      <c r="V294" s="144">
        <f t="shared" si="178"/>
        <v>0</v>
      </c>
      <c r="W294" s="188">
        <f t="shared" si="179"/>
        <v>1500.3700000000001</v>
      </c>
      <c r="X294" s="751">
        <f t="shared" si="170"/>
        <v>136.82</v>
      </c>
      <c r="Y294" s="752">
        <f t="shared" si="184"/>
        <v>4264.08</v>
      </c>
      <c r="Z294" s="752">
        <f t="shared" si="171"/>
        <v>0</v>
      </c>
      <c r="AA294" s="753">
        <f t="shared" si="180"/>
        <v>4400.9</v>
      </c>
      <c r="AB294" s="620">
        <f t="shared" si="185"/>
        <v>4264.08</v>
      </c>
      <c r="AC294" s="624">
        <f t="shared" si="181"/>
        <v>43595.13</v>
      </c>
      <c r="AD294" s="278">
        <f t="shared" si="182"/>
        <v>37432.05</v>
      </c>
      <c r="AE294" s="649">
        <f t="shared" si="183"/>
        <v>36010.590000000004</v>
      </c>
    </row>
    <row r="295" spans="1:31" ht="18.75">
      <c r="A295" s="311" t="s">
        <v>124</v>
      </c>
      <c r="B295" s="74">
        <f t="shared" si="166"/>
        <v>19063.45999999993</v>
      </c>
      <c r="C295" s="1095">
        <v>14903.07</v>
      </c>
      <c r="D295" s="1094">
        <v>13112.05</v>
      </c>
      <c r="E295" s="74"/>
      <c r="F295" s="74">
        <f t="shared" si="172"/>
        <v>20854.479999999927</v>
      </c>
      <c r="G295" s="258">
        <f t="shared" si="167"/>
        <v>0</v>
      </c>
      <c r="H295" s="604"/>
      <c r="I295" s="258"/>
      <c r="J295" s="258">
        <f t="shared" si="173"/>
        <v>0</v>
      </c>
      <c r="K295" s="78">
        <f t="shared" si="168"/>
        <v>0</v>
      </c>
      <c r="L295" s="1043"/>
      <c r="M295" s="257"/>
      <c r="N295" s="108">
        <f t="shared" si="174"/>
        <v>0</v>
      </c>
      <c r="O295" s="274">
        <f t="shared" si="169"/>
        <v>51.120000000000005</v>
      </c>
      <c r="P295" s="301">
        <v>22.93</v>
      </c>
      <c r="Q295" s="263"/>
      <c r="R295" s="263">
        <v>1.99</v>
      </c>
      <c r="S295" s="263">
        <f t="shared" si="175"/>
        <v>72.06000000000002</v>
      </c>
      <c r="T295" s="144">
        <f t="shared" si="176"/>
        <v>1.99</v>
      </c>
      <c r="U295" s="144">
        <f t="shared" si="177"/>
        <v>0</v>
      </c>
      <c r="V295" s="144">
        <f t="shared" si="178"/>
        <v>0</v>
      </c>
      <c r="W295" s="188">
        <f t="shared" si="179"/>
        <v>1.99</v>
      </c>
      <c r="X295" s="751">
        <f t="shared" si="170"/>
        <v>21.93</v>
      </c>
      <c r="Y295" s="752">
        <f t="shared" si="184"/>
        <v>0</v>
      </c>
      <c r="Z295" s="752">
        <f>V233+V264+V295</f>
        <v>0</v>
      </c>
      <c r="AA295" s="753">
        <f t="shared" si="180"/>
        <v>21.93</v>
      </c>
      <c r="AB295" s="620">
        <f t="shared" si="185"/>
        <v>0</v>
      </c>
      <c r="AC295" s="624">
        <f t="shared" si="181"/>
        <v>14926</v>
      </c>
      <c r="AD295" s="278">
        <f t="shared" si="182"/>
        <v>13114.039999999999</v>
      </c>
      <c r="AE295" s="649">
        <f t="shared" si="183"/>
        <v>13114.039999999999</v>
      </c>
    </row>
    <row r="296" spans="1:31" ht="18.75">
      <c r="A296" s="708" t="s">
        <v>188</v>
      </c>
      <c r="B296" s="74">
        <f t="shared" si="166"/>
        <v>14309.489999999932</v>
      </c>
      <c r="C296" s="1095">
        <v>39551.25</v>
      </c>
      <c r="D296" s="1094">
        <v>39871.46</v>
      </c>
      <c r="E296" s="74"/>
      <c r="F296" s="74">
        <f t="shared" si="172"/>
        <v>13989.279999999933</v>
      </c>
      <c r="G296" s="258">
        <f t="shared" si="167"/>
        <v>5421.900000000001</v>
      </c>
      <c r="H296" s="1079">
        <v>338.67</v>
      </c>
      <c r="I296" s="258"/>
      <c r="J296" s="258">
        <f t="shared" si="173"/>
        <v>5760.570000000001</v>
      </c>
      <c r="K296" s="78">
        <f t="shared" si="168"/>
        <v>-24112.719999999994</v>
      </c>
      <c r="L296" s="1072">
        <f>666.74+435.13+359.87</f>
        <v>1461.7399999999998</v>
      </c>
      <c r="M296" s="625">
        <v>2435.13</v>
      </c>
      <c r="N296" s="108">
        <f t="shared" si="174"/>
        <v>-25086.109999999997</v>
      </c>
      <c r="O296" s="274">
        <f t="shared" si="169"/>
        <v>-16554.770000000004</v>
      </c>
      <c r="P296" s="301">
        <v>79.64</v>
      </c>
      <c r="Q296" s="263"/>
      <c r="R296" s="263">
        <v>78.64</v>
      </c>
      <c r="S296" s="263">
        <f t="shared" si="175"/>
        <v>-16553.770000000004</v>
      </c>
      <c r="T296" s="144">
        <f t="shared" si="176"/>
        <v>78.64</v>
      </c>
      <c r="U296" s="144">
        <f t="shared" si="177"/>
        <v>2435.13</v>
      </c>
      <c r="V296" s="144">
        <f t="shared" si="178"/>
        <v>0</v>
      </c>
      <c r="W296" s="188">
        <f t="shared" si="179"/>
        <v>2513.77</v>
      </c>
      <c r="X296" s="751">
        <f t="shared" si="170"/>
        <v>300.87</v>
      </c>
      <c r="Y296" s="752">
        <f>U234+U265+U296</f>
        <v>17641.83</v>
      </c>
      <c r="Z296" s="752">
        <f aca="true" t="shared" si="186" ref="Z296:Z301">V234+V265+V296</f>
        <v>0</v>
      </c>
      <c r="AA296" s="753">
        <f t="shared" si="180"/>
        <v>17942.7</v>
      </c>
      <c r="AB296" s="620">
        <f>Y296+Z296</f>
        <v>17641.83</v>
      </c>
      <c r="AC296" s="624">
        <f t="shared" si="181"/>
        <v>41431.299999999996</v>
      </c>
      <c r="AD296" s="278">
        <f t="shared" si="182"/>
        <v>42385.229999999996</v>
      </c>
      <c r="AE296" s="649">
        <f t="shared" si="183"/>
        <v>39950.1</v>
      </c>
    </row>
    <row r="297" spans="1:31" ht="18.75">
      <c r="A297" s="709" t="s">
        <v>189</v>
      </c>
      <c r="B297" s="74">
        <f t="shared" si="166"/>
        <v>97037.04000000001</v>
      </c>
      <c r="C297" s="1095">
        <v>45631.94</v>
      </c>
      <c r="D297" s="1094">
        <v>41929.98</v>
      </c>
      <c r="E297" s="74"/>
      <c r="F297" s="74">
        <f t="shared" si="172"/>
        <v>100739</v>
      </c>
      <c r="G297" s="258">
        <f t="shared" si="167"/>
        <v>25693.34</v>
      </c>
      <c r="H297" s="1079">
        <v>2162.4</v>
      </c>
      <c r="I297" s="258"/>
      <c r="J297" s="258">
        <f t="shared" si="173"/>
        <v>27855.74</v>
      </c>
      <c r="K297" s="78">
        <f t="shared" si="168"/>
        <v>-16253.319999999994</v>
      </c>
      <c r="L297" s="1072">
        <f>701.19+2095.62</f>
        <v>2796.81</v>
      </c>
      <c r="M297" s="1113"/>
      <c r="N297" s="108">
        <f t="shared" si="174"/>
        <v>-13456.509999999995</v>
      </c>
      <c r="O297" s="274">
        <f t="shared" si="169"/>
        <v>-69542.98</v>
      </c>
      <c r="P297" s="301">
        <v>167.62</v>
      </c>
      <c r="Q297" s="263"/>
      <c r="R297" s="263">
        <f>65.36+111.19+45.83</f>
        <v>222.38</v>
      </c>
      <c r="S297" s="263">
        <f t="shared" si="175"/>
        <v>-69597.74</v>
      </c>
      <c r="T297" s="144">
        <f t="shared" si="176"/>
        <v>222.38</v>
      </c>
      <c r="U297" s="144">
        <f t="shared" si="177"/>
        <v>0</v>
      </c>
      <c r="V297" s="144">
        <f t="shared" si="178"/>
        <v>0</v>
      </c>
      <c r="W297" s="188">
        <f t="shared" si="179"/>
        <v>222.38</v>
      </c>
      <c r="X297" s="751">
        <f t="shared" si="170"/>
        <v>671.21</v>
      </c>
      <c r="Y297" s="752">
        <f>U235+U266+U297</f>
        <v>701.19</v>
      </c>
      <c r="Z297" s="752">
        <f t="shared" si="186"/>
        <v>0</v>
      </c>
      <c r="AA297" s="753">
        <f t="shared" si="180"/>
        <v>1372.4</v>
      </c>
      <c r="AB297" s="620">
        <f t="shared" si="185"/>
        <v>701.19</v>
      </c>
      <c r="AC297" s="624">
        <f t="shared" si="181"/>
        <v>50758.770000000004</v>
      </c>
      <c r="AD297" s="278">
        <f t="shared" si="182"/>
        <v>42152.36</v>
      </c>
      <c r="AE297" s="649">
        <f t="shared" si="183"/>
        <v>42152.36</v>
      </c>
    </row>
    <row r="298" spans="1:31" ht="18.75">
      <c r="A298" s="709" t="s">
        <v>251</v>
      </c>
      <c r="B298" s="74">
        <f t="shared" si="166"/>
        <v>119538.70000000001</v>
      </c>
      <c r="C298" s="1095">
        <v>42325.8</v>
      </c>
      <c r="D298" s="1094">
        <v>33070.21</v>
      </c>
      <c r="E298" s="74"/>
      <c r="F298" s="74">
        <f t="shared" si="172"/>
        <v>128794.29000000001</v>
      </c>
      <c r="G298" s="258">
        <f t="shared" si="167"/>
        <v>0</v>
      </c>
      <c r="H298" s="604"/>
      <c r="I298" s="258"/>
      <c r="J298" s="258">
        <f t="shared" si="173"/>
        <v>0</v>
      </c>
      <c r="K298" s="78">
        <f t="shared" si="168"/>
        <v>-62945.81</v>
      </c>
      <c r="L298" s="1072">
        <v>642.36</v>
      </c>
      <c r="M298" s="481"/>
      <c r="N298" s="108">
        <f t="shared" si="174"/>
        <v>-62303.45</v>
      </c>
      <c r="O298" s="274">
        <f t="shared" si="169"/>
        <v>-73443.26000000002</v>
      </c>
      <c r="P298" s="301">
        <v>24.13</v>
      </c>
      <c r="Q298" s="263"/>
      <c r="R298" s="263">
        <v>23.13</v>
      </c>
      <c r="S298" s="263">
        <f t="shared" si="175"/>
        <v>-73442.26000000002</v>
      </c>
      <c r="T298" s="144">
        <f t="shared" si="176"/>
        <v>23.13</v>
      </c>
      <c r="U298" s="144">
        <f t="shared" si="177"/>
        <v>0</v>
      </c>
      <c r="V298" s="144">
        <f t="shared" si="178"/>
        <v>0</v>
      </c>
      <c r="W298" s="188">
        <f t="shared" si="179"/>
        <v>23.13</v>
      </c>
      <c r="X298" s="751">
        <f t="shared" si="170"/>
        <v>88.92999999999999</v>
      </c>
      <c r="Y298" s="752">
        <f>U236+U267+U298</f>
        <v>1927.08</v>
      </c>
      <c r="Z298" s="752">
        <f t="shared" si="186"/>
        <v>0</v>
      </c>
      <c r="AA298" s="753">
        <f t="shared" si="180"/>
        <v>2016.01</v>
      </c>
      <c r="AB298" s="620">
        <f t="shared" si="185"/>
        <v>1927.08</v>
      </c>
      <c r="AC298" s="624">
        <f t="shared" si="181"/>
        <v>42992.29</v>
      </c>
      <c r="AD298" s="278">
        <f t="shared" si="182"/>
        <v>33093.34</v>
      </c>
      <c r="AE298" s="649">
        <f t="shared" si="183"/>
        <v>33093.34</v>
      </c>
    </row>
    <row r="299" spans="1:31" ht="18.75">
      <c r="A299" s="709" t="s">
        <v>252</v>
      </c>
      <c r="B299" s="74">
        <f t="shared" si="166"/>
        <v>83085.92000000001</v>
      </c>
      <c r="C299" s="1095">
        <v>15747.89</v>
      </c>
      <c r="D299" s="1094">
        <v>16805.06</v>
      </c>
      <c r="E299" s="74"/>
      <c r="F299" s="74">
        <f t="shared" si="172"/>
        <v>82028.75000000001</v>
      </c>
      <c r="G299" s="258">
        <f t="shared" si="167"/>
        <v>0</v>
      </c>
      <c r="H299" s="604"/>
      <c r="I299" s="258"/>
      <c r="J299" s="258">
        <f t="shared" si="173"/>
        <v>0</v>
      </c>
      <c r="K299" s="78">
        <f t="shared" si="168"/>
        <v>0</v>
      </c>
      <c r="L299" s="1043">
        <v>0</v>
      </c>
      <c r="M299" s="481"/>
      <c r="N299" s="108">
        <f t="shared" si="174"/>
        <v>0</v>
      </c>
      <c r="O299" s="274">
        <f t="shared" si="169"/>
        <v>9875.509999999998</v>
      </c>
      <c r="P299" s="301">
        <v>232.54</v>
      </c>
      <c r="Q299" s="263"/>
      <c r="R299" s="263">
        <f>114.42+696.25+581.83</f>
        <v>1392.5</v>
      </c>
      <c r="S299" s="263">
        <f t="shared" si="175"/>
        <v>8715.55</v>
      </c>
      <c r="T299" s="144">
        <f t="shared" si="176"/>
        <v>1392.5</v>
      </c>
      <c r="U299" s="144">
        <f t="shared" si="177"/>
        <v>0</v>
      </c>
      <c r="V299" s="144">
        <f t="shared" si="178"/>
        <v>0</v>
      </c>
      <c r="W299" s="188">
        <f t="shared" si="179"/>
        <v>1392.5</v>
      </c>
      <c r="X299" s="751">
        <f>T237+T268+T299</f>
        <v>6402.6</v>
      </c>
      <c r="Y299" s="752">
        <f t="shared" si="184"/>
        <v>0</v>
      </c>
      <c r="Z299" s="752">
        <f t="shared" si="186"/>
        <v>0</v>
      </c>
      <c r="AA299" s="753">
        <f t="shared" si="180"/>
        <v>6402.6</v>
      </c>
      <c r="AB299" s="620">
        <f t="shared" si="185"/>
        <v>0</v>
      </c>
      <c r="AC299" s="624">
        <f t="shared" si="181"/>
        <v>15980.43</v>
      </c>
      <c r="AD299" s="278">
        <f t="shared" si="182"/>
        <v>18197.56</v>
      </c>
      <c r="AE299" s="649">
        <f t="shared" si="183"/>
        <v>18197.56</v>
      </c>
    </row>
    <row r="300" spans="1:31" ht="18.75">
      <c r="A300" s="709" t="s">
        <v>301</v>
      </c>
      <c r="B300" s="74">
        <f>F269</f>
        <v>55044.67999999999</v>
      </c>
      <c r="C300" s="1095">
        <v>536674.97</v>
      </c>
      <c r="D300" s="1094">
        <v>45615.42</v>
      </c>
      <c r="E300" s="74"/>
      <c r="F300" s="74">
        <f t="shared" si="172"/>
        <v>546104.2299999999</v>
      </c>
      <c r="G300" s="258">
        <f t="shared" si="167"/>
        <v>0</v>
      </c>
      <c r="H300" s="1097"/>
      <c r="I300" s="258"/>
      <c r="J300" s="258">
        <f t="shared" si="173"/>
        <v>0</v>
      </c>
      <c r="K300" s="78">
        <f t="shared" si="168"/>
        <v>26997.82</v>
      </c>
      <c r="L300" s="692">
        <v>1674.27</v>
      </c>
      <c r="M300" s="1113">
        <v>681.05</v>
      </c>
      <c r="N300" s="108">
        <f t="shared" si="174"/>
        <v>27991.04</v>
      </c>
      <c r="O300" s="274">
        <f t="shared" si="169"/>
        <v>0</v>
      </c>
      <c r="P300" s="301">
        <v>1.84</v>
      </c>
      <c r="Q300" s="263"/>
      <c r="R300" s="263">
        <f>1.61+1037.1+1035.49</f>
        <v>2074.2</v>
      </c>
      <c r="S300" s="263">
        <f t="shared" si="175"/>
        <v>-2072.3599999999997</v>
      </c>
      <c r="T300" s="144">
        <f t="shared" si="176"/>
        <v>2074.2</v>
      </c>
      <c r="U300" s="144">
        <f t="shared" si="177"/>
        <v>681.05</v>
      </c>
      <c r="V300" s="144">
        <f t="shared" si="178"/>
        <v>0</v>
      </c>
      <c r="W300" s="188">
        <f t="shared" si="179"/>
        <v>2755.25</v>
      </c>
      <c r="X300" s="751">
        <f t="shared" si="170"/>
        <v>2074.2</v>
      </c>
      <c r="Y300" s="752">
        <f>U238+U269+U300</f>
        <v>3995.1400000000003</v>
      </c>
      <c r="Z300" s="752">
        <f t="shared" si="186"/>
        <v>0</v>
      </c>
      <c r="AA300" s="753">
        <f t="shared" si="180"/>
        <v>6069.34</v>
      </c>
      <c r="AB300" s="620">
        <f t="shared" si="185"/>
        <v>3995.1400000000003</v>
      </c>
      <c r="AC300" s="624">
        <f t="shared" si="181"/>
        <v>538351.08</v>
      </c>
      <c r="AD300" s="278">
        <f t="shared" si="182"/>
        <v>48370.67</v>
      </c>
      <c r="AE300" s="649">
        <f t="shared" si="183"/>
        <v>47689.619999999995</v>
      </c>
    </row>
    <row r="301" spans="1:31" ht="18.75">
      <c r="A301" s="709" t="s">
        <v>316</v>
      </c>
      <c r="B301" s="74">
        <v>0</v>
      </c>
      <c r="C301" s="1095">
        <v>56710</v>
      </c>
      <c r="D301" s="1094">
        <v>1743.08</v>
      </c>
      <c r="E301" s="74"/>
      <c r="F301" s="74">
        <f t="shared" si="172"/>
        <v>54966.92</v>
      </c>
      <c r="G301" s="258">
        <v>0</v>
      </c>
      <c r="H301" s="1098"/>
      <c r="I301" s="258"/>
      <c r="J301" s="258">
        <f t="shared" si="173"/>
        <v>0</v>
      </c>
      <c r="K301" s="78">
        <v>0</v>
      </c>
      <c r="L301" s="1069">
        <v>17144.07</v>
      </c>
      <c r="M301" s="1112">
        <v>9142.5</v>
      </c>
      <c r="N301" s="108">
        <f t="shared" si="174"/>
        <v>8001.57</v>
      </c>
      <c r="O301" s="274">
        <v>0</v>
      </c>
      <c r="P301" s="301">
        <v>0</v>
      </c>
      <c r="Q301" s="263"/>
      <c r="R301" s="263">
        <v>0</v>
      </c>
      <c r="S301" s="263">
        <f t="shared" si="175"/>
        <v>0</v>
      </c>
      <c r="T301" s="144">
        <f t="shared" si="176"/>
        <v>0</v>
      </c>
      <c r="U301" s="144">
        <f t="shared" si="177"/>
        <v>9142.5</v>
      </c>
      <c r="V301" s="144">
        <f t="shared" si="178"/>
        <v>0</v>
      </c>
      <c r="W301" s="188">
        <f t="shared" si="179"/>
        <v>9142.5</v>
      </c>
      <c r="X301" s="751">
        <f>T301</f>
        <v>0</v>
      </c>
      <c r="Y301" s="752">
        <f>U301</f>
        <v>9142.5</v>
      </c>
      <c r="Z301" s="752">
        <f t="shared" si="186"/>
        <v>0</v>
      </c>
      <c r="AA301" s="753">
        <f>X301+Y301+Z301</f>
        <v>9142.5</v>
      </c>
      <c r="AB301" s="620">
        <f t="shared" si="185"/>
        <v>9142.5</v>
      </c>
      <c r="AC301" s="624">
        <f t="shared" si="181"/>
        <v>73854.07</v>
      </c>
      <c r="AD301" s="278">
        <f t="shared" si="182"/>
        <v>10885.58</v>
      </c>
      <c r="AE301" s="649">
        <f t="shared" si="183"/>
        <v>1743.08</v>
      </c>
    </row>
    <row r="302" spans="1:31" ht="25.5">
      <c r="A302" s="491" t="s">
        <v>127</v>
      </c>
      <c r="B302" s="370">
        <f>SUM(B275:B301)</f>
        <v>1762337.1900000016</v>
      </c>
      <c r="C302" s="370">
        <f>SUM(C275:C301)</f>
        <v>1430471.9700000002</v>
      </c>
      <c r="D302" s="370">
        <f>SUM(D275:D301)</f>
        <v>833453.3200000002</v>
      </c>
      <c r="E302" s="370"/>
      <c r="F302" s="370">
        <f>SUM(F275:F301)</f>
        <v>2359355.8400000012</v>
      </c>
      <c r="G302" s="370">
        <f>SUM(G275:G295)</f>
        <v>178057.78999999998</v>
      </c>
      <c r="H302" s="1100">
        <f>SUM(H275:H297)</f>
        <v>9722.08</v>
      </c>
      <c r="I302" s="1101">
        <v>0</v>
      </c>
      <c r="J302" s="1102">
        <f>SUM(J275:J295)</f>
        <v>185278.8</v>
      </c>
      <c r="K302" s="1102">
        <f aca="true" t="shared" si="187" ref="K302:P302">SUM(K275:K301)</f>
        <v>-66933.47999999998</v>
      </c>
      <c r="L302" s="1103">
        <f t="shared" si="187"/>
        <v>46405.840000000004</v>
      </c>
      <c r="M302" s="1104">
        <f t="shared" si="187"/>
        <v>29682.31</v>
      </c>
      <c r="N302" s="1102">
        <f t="shared" si="187"/>
        <v>-50209.94999999997</v>
      </c>
      <c r="O302" s="1102">
        <f t="shared" si="187"/>
        <v>-154169.18</v>
      </c>
      <c r="P302" s="508">
        <f t="shared" si="187"/>
        <v>2600.2799999999997</v>
      </c>
      <c r="Q302" s="1101"/>
      <c r="R302" s="1105">
        <f>SUM(R275:R301)</f>
        <v>5461.530000000001</v>
      </c>
      <c r="S302" s="1102">
        <f>SUM(S275:S301)</f>
        <v>-157030.43000000005</v>
      </c>
      <c r="T302" s="1102">
        <f>SUM(T275:T301)</f>
        <v>5461.530000000001</v>
      </c>
      <c r="U302" s="1102">
        <f>SUM(U275:U301)</f>
        <v>29682.31</v>
      </c>
      <c r="V302" s="1102">
        <f>SUM(V275:V301)</f>
        <v>0</v>
      </c>
      <c r="W302" s="1101">
        <f t="shared" si="179"/>
        <v>35143.840000000004</v>
      </c>
      <c r="X302" s="1106">
        <f>SUM(X275:X301)</f>
        <v>14712.900000000001</v>
      </c>
      <c r="Y302" s="1106">
        <f>SUM(Y275:Y301)</f>
        <v>93177.18000000001</v>
      </c>
      <c r="Z302" s="1107">
        <v>0</v>
      </c>
      <c r="AA302" s="1106">
        <f>SUM(AA275:AA301)</f>
        <v>107890.07999999999</v>
      </c>
      <c r="AB302" s="1108">
        <f>SUM(AB275:AB301)</f>
        <v>93177.18000000001</v>
      </c>
      <c r="AC302" s="1109">
        <f>SUM(AC275:AC301)</f>
        <v>1489200.1700000002</v>
      </c>
      <c r="AD302" s="1110">
        <f>SUM(AD275:AD301)</f>
        <v>868597.1600000001</v>
      </c>
      <c r="AE302" s="1109">
        <f>SUM(AE275:AE301)</f>
        <v>838914.85</v>
      </c>
    </row>
    <row r="303" spans="16:31" ht="18.75">
      <c r="P303" s="68"/>
      <c r="Q303" s="68"/>
      <c r="R303" s="68"/>
      <c r="W303" s="39"/>
      <c r="Z303" s="39"/>
      <c r="AC303" s="11"/>
      <c r="AD303" s="1099"/>
      <c r="AE303" s="11"/>
    </row>
    <row r="304" spans="29:31" ht="31.5" customHeight="1">
      <c r="AC304" s="11"/>
      <c r="AD304" s="11"/>
      <c r="AE304" s="11"/>
    </row>
    <row r="305" spans="1:20" ht="19.5" thickBot="1">
      <c r="A305" s="68"/>
      <c r="B305" s="69" t="s">
        <v>322</v>
      </c>
      <c r="C305" s="69"/>
      <c r="D305" s="69"/>
      <c r="E305" s="69"/>
      <c r="F305" s="68"/>
      <c r="G305" s="5"/>
      <c r="H305" s="4"/>
      <c r="I305" s="5"/>
      <c r="J305" s="240" t="s">
        <v>63</v>
      </c>
      <c r="K305" s="6"/>
      <c r="L305" s="5"/>
      <c r="O305" s="2"/>
      <c r="S305" s="240" t="s">
        <v>63</v>
      </c>
      <c r="T305" s="11"/>
    </row>
    <row r="306" spans="1:26" ht="18">
      <c r="A306" s="408" t="s">
        <v>138</v>
      </c>
      <c r="B306" s="1670" t="s">
        <v>221</v>
      </c>
      <c r="C306" s="1585" t="s">
        <v>2</v>
      </c>
      <c r="D306" s="1586"/>
      <c r="E306" s="1586"/>
      <c r="F306" s="1591"/>
      <c r="G306" s="85" t="s">
        <v>27</v>
      </c>
      <c r="H306" s="1594" t="s">
        <v>3</v>
      </c>
      <c r="I306" s="1595"/>
      <c r="J306" s="1596"/>
      <c r="K306" s="88" t="s">
        <v>27</v>
      </c>
      <c r="L306" s="1612" t="s">
        <v>4</v>
      </c>
      <c r="M306" s="1612"/>
      <c r="N306" s="1612"/>
      <c r="O306" s="84" t="s">
        <v>27</v>
      </c>
      <c r="P306" s="1613" t="s">
        <v>23</v>
      </c>
      <c r="Q306" s="1613"/>
      <c r="R306" s="1613"/>
      <c r="S306" s="1585"/>
      <c r="T306" s="1579" t="s">
        <v>323</v>
      </c>
      <c r="U306" s="1580"/>
      <c r="V306" s="1580"/>
      <c r="W306" s="1580"/>
      <c r="X306" s="59"/>
      <c r="Y306" s="59"/>
      <c r="Z306" s="576"/>
    </row>
    <row r="307" spans="1:26" ht="54.75" thickBot="1">
      <c r="A307" s="111" t="s">
        <v>1</v>
      </c>
      <c r="B307" s="1671"/>
      <c r="C307" s="81" t="s">
        <v>5</v>
      </c>
      <c r="D307" s="81" t="s">
        <v>6</v>
      </c>
      <c r="E307" s="81" t="s">
        <v>65</v>
      </c>
      <c r="F307" s="81" t="s">
        <v>220</v>
      </c>
      <c r="G307" s="86" t="s">
        <v>221</v>
      </c>
      <c r="H307" s="87" t="s">
        <v>5</v>
      </c>
      <c r="I307" s="87" t="s">
        <v>6</v>
      </c>
      <c r="J307" s="86" t="s">
        <v>222</v>
      </c>
      <c r="K307" s="115" t="s">
        <v>221</v>
      </c>
      <c r="L307" s="115" t="s">
        <v>5</v>
      </c>
      <c r="M307" s="115" t="s">
        <v>6</v>
      </c>
      <c r="N307" s="115" t="s">
        <v>223</v>
      </c>
      <c r="O307" s="116" t="s">
        <v>221</v>
      </c>
      <c r="P307" s="116" t="s">
        <v>5</v>
      </c>
      <c r="Q307" s="116" t="s">
        <v>64</v>
      </c>
      <c r="R307" s="116" t="s">
        <v>6</v>
      </c>
      <c r="S307" s="237" t="s">
        <v>223</v>
      </c>
      <c r="T307" s="242" t="s">
        <v>111</v>
      </c>
      <c r="U307" s="185" t="s">
        <v>69</v>
      </c>
      <c r="V307" s="185" t="s">
        <v>95</v>
      </c>
      <c r="W307" s="294" t="s">
        <v>161</v>
      </c>
      <c r="X307" s="296" t="s">
        <v>112</v>
      </c>
      <c r="Y307" s="293" t="s">
        <v>110</v>
      </c>
      <c r="Z307" s="581" t="s">
        <v>162</v>
      </c>
    </row>
    <row r="308" spans="1:26" ht="21" customHeight="1">
      <c r="A308" s="431" t="s">
        <v>47</v>
      </c>
      <c r="B308" s="74">
        <f aca="true" t="shared" si="188" ref="B308:B334">F275</f>
        <v>118365.22999999995</v>
      </c>
      <c r="C308" s="282">
        <v>13336.39</v>
      </c>
      <c r="D308" s="282">
        <v>12383.88</v>
      </c>
      <c r="E308" s="72"/>
      <c r="F308" s="74">
        <f>B308+C308-D308</f>
        <v>119317.73999999993</v>
      </c>
      <c r="G308" s="286">
        <f aca="true" t="shared" si="189" ref="G308:G334">J275</f>
        <v>30776.569999999978</v>
      </c>
      <c r="H308" s="1118">
        <v>1334.01</v>
      </c>
      <c r="I308" s="287"/>
      <c r="J308" s="285">
        <f>G308+H308-I308</f>
        <v>32110.579999999976</v>
      </c>
      <c r="K308" s="274">
        <f aca="true" t="shared" si="190" ref="K308:K334">N275</f>
        <v>-1093.3899999999994</v>
      </c>
      <c r="L308" s="1069">
        <v>4271.8</v>
      </c>
      <c r="M308" s="651">
        <v>4271.8</v>
      </c>
      <c r="N308" s="108">
        <f>K308+L308-M308</f>
        <v>-1093.3899999999994</v>
      </c>
      <c r="O308" s="274">
        <f aca="true" t="shared" si="191" ref="O308:O334">S275</f>
        <v>-1432.8700000000003</v>
      </c>
      <c r="P308" s="288">
        <v>70.77</v>
      </c>
      <c r="Q308" s="1134">
        <v>26.14</v>
      </c>
      <c r="R308" s="288">
        <f>117.94</f>
        <v>117.94</v>
      </c>
      <c r="S308" s="291">
        <f>O308+P308-R308</f>
        <v>-1480.0400000000004</v>
      </c>
      <c r="T308" s="800">
        <f>R308</f>
        <v>117.94</v>
      </c>
      <c r="U308" s="801">
        <f>M308</f>
        <v>4271.8</v>
      </c>
      <c r="V308" s="801">
        <f>I308</f>
        <v>0</v>
      </c>
      <c r="W308" s="802">
        <f>T308+U308+V308</f>
        <v>4389.74</v>
      </c>
      <c r="X308" s="295">
        <f>C308+H308+L308+P308</f>
        <v>19012.97</v>
      </c>
      <c r="Y308" s="292">
        <f>D308+I308+M308+R308</f>
        <v>16773.62</v>
      </c>
      <c r="Z308" s="583">
        <f>D308+R308</f>
        <v>12501.82</v>
      </c>
    </row>
    <row r="309" spans="1:26" ht="20.25" customHeight="1">
      <c r="A309" s="431" t="s">
        <v>53</v>
      </c>
      <c r="B309" s="74">
        <f t="shared" si="188"/>
        <v>121970.8200000002</v>
      </c>
      <c r="C309" s="282">
        <v>29769.7</v>
      </c>
      <c r="D309" s="282">
        <v>34356.06</v>
      </c>
      <c r="E309" s="72"/>
      <c r="F309" s="74">
        <f aca="true" t="shared" si="192" ref="F309:F334">B309+C309-D309</f>
        <v>117384.4600000002</v>
      </c>
      <c r="G309" s="286">
        <f t="shared" si="189"/>
        <v>2682.1400000000003</v>
      </c>
      <c r="H309" s="1118">
        <v>258.4</v>
      </c>
      <c r="I309" s="287"/>
      <c r="J309" s="285">
        <f aca="true" t="shared" si="193" ref="J309:J334">G309+H309-I309</f>
        <v>2940.5400000000004</v>
      </c>
      <c r="K309" s="274">
        <f t="shared" si="190"/>
        <v>-3623.399999999998</v>
      </c>
      <c r="L309" s="1069">
        <v>120.78</v>
      </c>
      <c r="M309" s="262"/>
      <c r="N309" s="108">
        <f aca="true" t="shared" si="194" ref="N309:N334">K309+L309-M309</f>
        <v>-3502.6199999999976</v>
      </c>
      <c r="O309" s="274">
        <f t="shared" si="191"/>
        <v>-797.4300000000003</v>
      </c>
      <c r="P309" s="288">
        <v>148.51</v>
      </c>
      <c r="Q309" s="1134">
        <v>24.54</v>
      </c>
      <c r="R309" s="288">
        <v>56.35</v>
      </c>
      <c r="S309" s="291">
        <f aca="true" t="shared" si="195" ref="S309:S334">O309+P309-R309</f>
        <v>-705.2700000000003</v>
      </c>
      <c r="T309" s="800">
        <f aca="true" t="shared" si="196" ref="T309:T334">R309</f>
        <v>56.35</v>
      </c>
      <c r="U309" s="801">
        <f aca="true" t="shared" si="197" ref="U309:U334">M309</f>
        <v>0</v>
      </c>
      <c r="V309" s="801">
        <f aca="true" t="shared" si="198" ref="V309:V334">I309</f>
        <v>0</v>
      </c>
      <c r="W309" s="802">
        <f aca="true" t="shared" si="199" ref="W309:W334">T309+U309+V309</f>
        <v>56.35</v>
      </c>
      <c r="X309" s="295">
        <f aca="true" t="shared" si="200" ref="X309:X323">C309+H309+L309+P309</f>
        <v>30297.39</v>
      </c>
      <c r="Y309" s="292">
        <f aca="true" t="shared" si="201" ref="Y309:Y334">D309+I309+M309+R309</f>
        <v>34412.409999999996</v>
      </c>
      <c r="Z309" s="583">
        <f aca="true" t="shared" si="202" ref="Z309:Z334">D309+R309</f>
        <v>34412.409999999996</v>
      </c>
    </row>
    <row r="310" spans="1:26" ht="18.75">
      <c r="A310" s="431" t="s">
        <v>8</v>
      </c>
      <c r="B310" s="74">
        <f t="shared" si="188"/>
        <v>74445.62</v>
      </c>
      <c r="C310" s="283">
        <v>0</v>
      </c>
      <c r="D310" s="284"/>
      <c r="E310" s="74"/>
      <c r="F310" s="74">
        <f t="shared" si="192"/>
        <v>74445.62</v>
      </c>
      <c r="G310" s="286">
        <f t="shared" si="189"/>
        <v>0</v>
      </c>
      <c r="H310" s="1119"/>
      <c r="I310" s="287"/>
      <c r="J310" s="285">
        <f t="shared" si="193"/>
        <v>0</v>
      </c>
      <c r="K310" s="274">
        <f t="shared" si="190"/>
        <v>0</v>
      </c>
      <c r="L310" s="1040"/>
      <c r="M310" s="818"/>
      <c r="N310" s="108">
        <f t="shared" si="194"/>
        <v>0</v>
      </c>
      <c r="O310" s="274">
        <f t="shared" si="191"/>
        <v>0</v>
      </c>
      <c r="P310" s="289">
        <v>0</v>
      </c>
      <c r="Q310" s="289"/>
      <c r="R310" s="290"/>
      <c r="S310" s="291">
        <f t="shared" si="195"/>
        <v>0</v>
      </c>
      <c r="T310" s="800">
        <f t="shared" si="196"/>
        <v>0</v>
      </c>
      <c r="U310" s="801">
        <f t="shared" si="197"/>
        <v>0</v>
      </c>
      <c r="V310" s="801">
        <f t="shared" si="198"/>
        <v>0</v>
      </c>
      <c r="W310" s="802">
        <f t="shared" si="199"/>
        <v>0</v>
      </c>
      <c r="X310" s="295">
        <f t="shared" si="200"/>
        <v>0</v>
      </c>
      <c r="Y310" s="292">
        <f t="shared" si="201"/>
        <v>0</v>
      </c>
      <c r="Z310" s="583">
        <f t="shared" si="202"/>
        <v>0</v>
      </c>
    </row>
    <row r="311" spans="1:26" ht="18.75">
      <c r="A311" s="431" t="s">
        <v>48</v>
      </c>
      <c r="B311" s="74">
        <f t="shared" si="188"/>
        <v>371169.92000000016</v>
      </c>
      <c r="C311" s="283">
        <v>72292</v>
      </c>
      <c r="D311" s="284">
        <v>73300.03</v>
      </c>
      <c r="E311" s="74"/>
      <c r="F311" s="74">
        <f t="shared" si="192"/>
        <v>370161.89000000013</v>
      </c>
      <c r="G311" s="286">
        <f t="shared" si="189"/>
        <v>35935.59</v>
      </c>
      <c r="H311" s="1120">
        <v>1241.79</v>
      </c>
      <c r="I311" s="287"/>
      <c r="J311" s="285">
        <f t="shared" si="193"/>
        <v>37177.38</v>
      </c>
      <c r="K311" s="274">
        <f t="shared" si="190"/>
        <v>-1705.079999999998</v>
      </c>
      <c r="L311" s="1069">
        <f>1653.07+242.74</f>
        <v>1895.81</v>
      </c>
      <c r="M311" s="1129">
        <v>802.42</v>
      </c>
      <c r="N311" s="108">
        <f t="shared" si="194"/>
        <v>-611.6899999999981</v>
      </c>
      <c r="O311" s="274">
        <f t="shared" si="191"/>
        <v>-2205.5799999999986</v>
      </c>
      <c r="P311" s="289">
        <v>313.78</v>
      </c>
      <c r="Q311" s="289">
        <v>30.16</v>
      </c>
      <c r="R311" s="290">
        <v>243.84</v>
      </c>
      <c r="S311" s="291">
        <f t="shared" si="195"/>
        <v>-2135.6399999999985</v>
      </c>
      <c r="T311" s="800">
        <f t="shared" si="196"/>
        <v>243.84</v>
      </c>
      <c r="U311" s="801">
        <f t="shared" si="197"/>
        <v>802.42</v>
      </c>
      <c r="V311" s="801">
        <f t="shared" si="198"/>
        <v>0</v>
      </c>
      <c r="W311" s="802">
        <f t="shared" si="199"/>
        <v>1046.26</v>
      </c>
      <c r="X311" s="295">
        <f t="shared" si="200"/>
        <v>75743.37999999999</v>
      </c>
      <c r="Y311" s="292">
        <f t="shared" si="201"/>
        <v>74346.29</v>
      </c>
      <c r="Z311" s="583">
        <f t="shared" si="202"/>
        <v>73543.87</v>
      </c>
    </row>
    <row r="312" spans="1:26" ht="18.75">
      <c r="A312" s="431" t="s">
        <v>9</v>
      </c>
      <c r="B312" s="74">
        <f t="shared" si="188"/>
        <v>123938.17000000009</v>
      </c>
      <c r="C312" s="283">
        <v>18048.09</v>
      </c>
      <c r="D312" s="284">
        <v>17018.37</v>
      </c>
      <c r="E312" s="74"/>
      <c r="F312" s="74">
        <f t="shared" si="192"/>
        <v>124967.8900000001</v>
      </c>
      <c r="G312" s="286">
        <f t="shared" si="189"/>
        <v>43785.42</v>
      </c>
      <c r="H312" s="1120">
        <f>1337.19+99.64</f>
        <v>1436.8300000000002</v>
      </c>
      <c r="I312" s="287"/>
      <c r="J312" s="285">
        <f t="shared" si="193"/>
        <v>45222.25</v>
      </c>
      <c r="K312" s="274">
        <f t="shared" si="190"/>
        <v>0</v>
      </c>
      <c r="L312" s="1040"/>
      <c r="M312" s="818"/>
      <c r="N312" s="108">
        <f t="shared" si="194"/>
        <v>0</v>
      </c>
      <c r="O312" s="274">
        <f t="shared" si="191"/>
        <v>301.90999999999997</v>
      </c>
      <c r="P312" s="289">
        <v>52.72</v>
      </c>
      <c r="Q312" s="289">
        <v>1.84</v>
      </c>
      <c r="R312" s="650">
        <v>-7.19</v>
      </c>
      <c r="S312" s="291">
        <f t="shared" si="195"/>
        <v>361.82</v>
      </c>
      <c r="T312" s="800">
        <f t="shared" si="196"/>
        <v>-7.19</v>
      </c>
      <c r="U312" s="803">
        <f t="shared" si="197"/>
        <v>0</v>
      </c>
      <c r="V312" s="801">
        <f t="shared" si="198"/>
        <v>0</v>
      </c>
      <c r="W312" s="802">
        <f t="shared" si="199"/>
        <v>-7.19</v>
      </c>
      <c r="X312" s="295">
        <f t="shared" si="200"/>
        <v>19537.640000000003</v>
      </c>
      <c r="Y312" s="292">
        <f t="shared" si="201"/>
        <v>17011.18</v>
      </c>
      <c r="Z312" s="583">
        <f t="shared" si="202"/>
        <v>17011.18</v>
      </c>
    </row>
    <row r="313" spans="1:26" ht="18.75">
      <c r="A313" s="431" t="s">
        <v>10</v>
      </c>
      <c r="B313" s="74">
        <f t="shared" si="188"/>
        <v>8104.970000000088</v>
      </c>
      <c r="C313" s="283">
        <v>7795.77</v>
      </c>
      <c r="D313" s="284">
        <v>8302.23</v>
      </c>
      <c r="E313" s="74"/>
      <c r="F313" s="74">
        <f t="shared" si="192"/>
        <v>7598.510000000089</v>
      </c>
      <c r="G313" s="286">
        <f t="shared" si="189"/>
        <v>0</v>
      </c>
      <c r="H313" s="1119"/>
      <c r="I313" s="287"/>
      <c r="J313" s="285">
        <f t="shared" si="193"/>
        <v>0</v>
      </c>
      <c r="K313" s="274">
        <f t="shared" si="190"/>
        <v>0</v>
      </c>
      <c r="L313" s="1040"/>
      <c r="M313" s="818"/>
      <c r="N313" s="108">
        <f t="shared" si="194"/>
        <v>0</v>
      </c>
      <c r="O313" s="274">
        <f t="shared" si="191"/>
        <v>9.489999999999977</v>
      </c>
      <c r="P313" s="289">
        <v>5.34</v>
      </c>
      <c r="Q313" s="289">
        <v>0.92</v>
      </c>
      <c r="R313" s="650"/>
      <c r="S313" s="291">
        <f t="shared" si="195"/>
        <v>14.829999999999977</v>
      </c>
      <c r="T313" s="800">
        <f t="shared" si="196"/>
        <v>0</v>
      </c>
      <c r="U313" s="801">
        <f t="shared" si="197"/>
        <v>0</v>
      </c>
      <c r="V313" s="801">
        <f t="shared" si="198"/>
        <v>0</v>
      </c>
      <c r="W313" s="802">
        <f t="shared" si="199"/>
        <v>0</v>
      </c>
      <c r="X313" s="295">
        <f t="shared" si="200"/>
        <v>7801.110000000001</v>
      </c>
      <c r="Y313" s="292">
        <f t="shared" si="201"/>
        <v>8302.23</v>
      </c>
      <c r="Z313" s="583">
        <f t="shared" si="202"/>
        <v>8302.23</v>
      </c>
    </row>
    <row r="314" spans="1:26" ht="18.75">
      <c r="A314" s="431" t="s">
        <v>11</v>
      </c>
      <c r="B314" s="74">
        <f t="shared" si="188"/>
        <v>8073.620000000038</v>
      </c>
      <c r="C314" s="283">
        <v>7768.21</v>
      </c>
      <c r="D314" s="284">
        <v>6222.95</v>
      </c>
      <c r="E314" s="74"/>
      <c r="F314" s="74">
        <f t="shared" si="192"/>
        <v>9618.880000000037</v>
      </c>
      <c r="G314" s="286">
        <f t="shared" si="189"/>
        <v>0</v>
      </c>
      <c r="H314" s="1119"/>
      <c r="I314" s="287"/>
      <c r="J314" s="285">
        <f t="shared" si="193"/>
        <v>0</v>
      </c>
      <c r="K314" s="274">
        <f t="shared" si="190"/>
        <v>0</v>
      </c>
      <c r="L314" s="1040"/>
      <c r="M314" s="818"/>
      <c r="N314" s="108">
        <f t="shared" si="194"/>
        <v>0</v>
      </c>
      <c r="O314" s="274">
        <f t="shared" si="191"/>
        <v>41.42</v>
      </c>
      <c r="P314" s="289">
        <v>0.64</v>
      </c>
      <c r="Q314" s="289">
        <v>0.57</v>
      </c>
      <c r="R314" s="650"/>
      <c r="S314" s="291">
        <f t="shared" si="195"/>
        <v>42.06</v>
      </c>
      <c r="T314" s="800">
        <f t="shared" si="196"/>
        <v>0</v>
      </c>
      <c r="U314" s="801">
        <f t="shared" si="197"/>
        <v>0</v>
      </c>
      <c r="V314" s="801">
        <f t="shared" si="198"/>
        <v>0</v>
      </c>
      <c r="W314" s="802">
        <f t="shared" si="199"/>
        <v>0</v>
      </c>
      <c r="X314" s="295">
        <f t="shared" si="200"/>
        <v>7768.85</v>
      </c>
      <c r="Y314" s="292">
        <f t="shared" si="201"/>
        <v>6222.95</v>
      </c>
      <c r="Z314" s="583">
        <f t="shared" si="202"/>
        <v>6222.95</v>
      </c>
    </row>
    <row r="315" spans="1:26" ht="18.75">
      <c r="A315" s="431" t="s">
        <v>12</v>
      </c>
      <c r="B315" s="74">
        <f t="shared" si="188"/>
        <v>87614.50000000023</v>
      </c>
      <c r="C315" s="283">
        <v>44465.15</v>
      </c>
      <c r="D315" s="284">
        <v>47214.86</v>
      </c>
      <c r="E315" s="74"/>
      <c r="F315" s="74">
        <f t="shared" si="192"/>
        <v>84864.79000000023</v>
      </c>
      <c r="G315" s="286">
        <f t="shared" si="189"/>
        <v>11897.439999999999</v>
      </c>
      <c r="H315" s="1120">
        <v>517.28</v>
      </c>
      <c r="I315" s="287"/>
      <c r="J315" s="285">
        <f t="shared" si="193"/>
        <v>12414.72</v>
      </c>
      <c r="K315" s="274">
        <f t="shared" si="190"/>
        <v>1508.3999999999987</v>
      </c>
      <c r="L315" s="1069">
        <v>1526.4</v>
      </c>
      <c r="M315" s="1129">
        <v>1526.4</v>
      </c>
      <c r="N315" s="108">
        <f t="shared" si="194"/>
        <v>1508.3999999999987</v>
      </c>
      <c r="O315" s="274">
        <f t="shared" si="191"/>
        <v>368.0599999999999</v>
      </c>
      <c r="P315" s="289">
        <v>109.45</v>
      </c>
      <c r="Q315" s="289">
        <v>18.85</v>
      </c>
      <c r="R315" s="650">
        <v>75.08</v>
      </c>
      <c r="S315" s="291">
        <f t="shared" si="195"/>
        <v>402.4299999999999</v>
      </c>
      <c r="T315" s="800">
        <f t="shared" si="196"/>
        <v>75.08</v>
      </c>
      <c r="U315" s="801">
        <f t="shared" si="197"/>
        <v>1526.4</v>
      </c>
      <c r="V315" s="801">
        <f t="shared" si="198"/>
        <v>0</v>
      </c>
      <c r="W315" s="802">
        <f t="shared" si="199"/>
        <v>1601.48</v>
      </c>
      <c r="X315" s="295">
        <f t="shared" si="200"/>
        <v>46618.28</v>
      </c>
      <c r="Y315" s="292">
        <f t="shared" si="201"/>
        <v>48816.340000000004</v>
      </c>
      <c r="Z315" s="583">
        <f t="shared" si="202"/>
        <v>47289.94</v>
      </c>
    </row>
    <row r="316" spans="1:26" ht="18.75">
      <c r="A316" s="431" t="s">
        <v>13</v>
      </c>
      <c r="B316" s="74">
        <f t="shared" si="188"/>
        <v>55542.310000000034</v>
      </c>
      <c r="C316" s="283">
        <v>26273.16</v>
      </c>
      <c r="D316" s="284">
        <v>24126.87</v>
      </c>
      <c r="E316" s="74"/>
      <c r="F316" s="74">
        <f t="shared" si="192"/>
        <v>57688.600000000035</v>
      </c>
      <c r="G316" s="286">
        <f t="shared" si="189"/>
        <v>4184.879999999998</v>
      </c>
      <c r="H316" s="1120">
        <v>174.37</v>
      </c>
      <c r="I316" s="287"/>
      <c r="J316" s="285">
        <f t="shared" si="193"/>
        <v>4359.249999999998</v>
      </c>
      <c r="K316" s="274">
        <f t="shared" si="190"/>
        <v>-2290.02</v>
      </c>
      <c r="L316" s="1069">
        <v>645.01</v>
      </c>
      <c r="M316" s="1129"/>
      <c r="N316" s="108">
        <f t="shared" si="194"/>
        <v>-1645.01</v>
      </c>
      <c r="O316" s="274">
        <f t="shared" si="191"/>
        <v>267.79000000000013</v>
      </c>
      <c r="P316" s="289">
        <v>59.78</v>
      </c>
      <c r="Q316" s="289">
        <v>17.53</v>
      </c>
      <c r="R316" s="290"/>
      <c r="S316" s="291">
        <f t="shared" si="195"/>
        <v>327.57000000000016</v>
      </c>
      <c r="T316" s="800">
        <f t="shared" si="196"/>
        <v>0</v>
      </c>
      <c r="U316" s="801">
        <f t="shared" si="197"/>
        <v>0</v>
      </c>
      <c r="V316" s="801">
        <f t="shared" si="198"/>
        <v>0</v>
      </c>
      <c r="W316" s="802">
        <f t="shared" si="199"/>
        <v>0</v>
      </c>
      <c r="X316" s="295">
        <f t="shared" si="200"/>
        <v>27152.319999999996</v>
      </c>
      <c r="Y316" s="292">
        <f t="shared" si="201"/>
        <v>24126.87</v>
      </c>
      <c r="Z316" s="583">
        <f t="shared" si="202"/>
        <v>24126.87</v>
      </c>
    </row>
    <row r="317" spans="1:26" ht="18.75">
      <c r="A317" s="431" t="s">
        <v>14</v>
      </c>
      <c r="B317" s="74">
        <f t="shared" si="188"/>
        <v>56507.56000000006</v>
      </c>
      <c r="C317" s="283">
        <v>32415.33</v>
      </c>
      <c r="D317" s="284">
        <v>31202.68</v>
      </c>
      <c r="E317" s="74"/>
      <c r="F317" s="74">
        <f t="shared" si="192"/>
        <v>57720.21000000007</v>
      </c>
      <c r="G317" s="286">
        <f t="shared" si="189"/>
        <v>5420.839999999997</v>
      </c>
      <c r="H317" s="1119"/>
      <c r="I317" s="287"/>
      <c r="J317" s="285">
        <f t="shared" si="193"/>
        <v>5420.839999999997</v>
      </c>
      <c r="K317" s="274">
        <f t="shared" si="190"/>
        <v>5124.399999999998</v>
      </c>
      <c r="L317" s="1069">
        <f>2593.29</f>
        <v>2593.29</v>
      </c>
      <c r="M317" s="1129">
        <v>2566.26</v>
      </c>
      <c r="N317" s="108">
        <f t="shared" si="194"/>
        <v>5151.429999999998</v>
      </c>
      <c r="O317" s="274">
        <f t="shared" si="191"/>
        <v>-277.49</v>
      </c>
      <c r="P317" s="289">
        <v>11.8</v>
      </c>
      <c r="Q317" s="289">
        <v>0.42</v>
      </c>
      <c r="R317" s="290"/>
      <c r="S317" s="291">
        <f t="shared" si="195"/>
        <v>-265.69</v>
      </c>
      <c r="T317" s="800">
        <f t="shared" si="196"/>
        <v>0</v>
      </c>
      <c r="U317" s="801">
        <f t="shared" si="197"/>
        <v>2566.26</v>
      </c>
      <c r="V317" s="801">
        <f t="shared" si="198"/>
        <v>0</v>
      </c>
      <c r="W317" s="802">
        <f t="shared" si="199"/>
        <v>2566.26</v>
      </c>
      <c r="X317" s="295">
        <f t="shared" si="200"/>
        <v>35020.420000000006</v>
      </c>
      <c r="Y317" s="292">
        <f t="shared" si="201"/>
        <v>33768.94</v>
      </c>
      <c r="Z317" s="583">
        <f t="shared" si="202"/>
        <v>31202.68</v>
      </c>
    </row>
    <row r="318" spans="1:26" ht="18.75">
      <c r="A318" s="431" t="s">
        <v>55</v>
      </c>
      <c r="B318" s="74">
        <f t="shared" si="188"/>
        <v>49678.12000000001</v>
      </c>
      <c r="C318" s="283">
        <v>14758.92</v>
      </c>
      <c r="D318" s="284">
        <v>13855.72</v>
      </c>
      <c r="E318" s="74"/>
      <c r="F318" s="74">
        <f t="shared" si="192"/>
        <v>50581.32000000001</v>
      </c>
      <c r="G318" s="286">
        <f t="shared" si="189"/>
        <v>4266.5</v>
      </c>
      <c r="H318" s="1120">
        <v>185.5</v>
      </c>
      <c r="I318" s="287"/>
      <c r="J318" s="285">
        <f t="shared" si="193"/>
        <v>4452</v>
      </c>
      <c r="K318" s="274">
        <f t="shared" si="190"/>
        <v>2234.070000000003</v>
      </c>
      <c r="L318" s="1069">
        <v>372.59</v>
      </c>
      <c r="M318" s="818"/>
      <c r="N318" s="108">
        <f t="shared" si="194"/>
        <v>2606.660000000003</v>
      </c>
      <c r="O318" s="274">
        <f t="shared" si="191"/>
        <v>-74.25999999999999</v>
      </c>
      <c r="P318" s="289">
        <v>30.09</v>
      </c>
      <c r="Q318" s="289">
        <v>1.1</v>
      </c>
      <c r="R318" s="290"/>
      <c r="S318" s="291">
        <f t="shared" si="195"/>
        <v>-44.16999999999999</v>
      </c>
      <c r="T318" s="800">
        <f t="shared" si="196"/>
        <v>0</v>
      </c>
      <c r="U318" s="801">
        <f t="shared" si="197"/>
        <v>0</v>
      </c>
      <c r="V318" s="801">
        <f t="shared" si="198"/>
        <v>0</v>
      </c>
      <c r="W318" s="802">
        <f t="shared" si="199"/>
        <v>0</v>
      </c>
      <c r="X318" s="295">
        <f t="shared" si="200"/>
        <v>15347.1</v>
      </c>
      <c r="Y318" s="292">
        <f t="shared" si="201"/>
        <v>13855.72</v>
      </c>
      <c r="Z318" s="583">
        <f t="shared" si="202"/>
        <v>13855.72</v>
      </c>
    </row>
    <row r="319" spans="1:26" ht="18.75">
      <c r="A319" s="431" t="s">
        <v>15</v>
      </c>
      <c r="B319" s="74">
        <f t="shared" si="188"/>
        <v>109029.48000000032</v>
      </c>
      <c r="C319" s="283">
        <v>34705.99</v>
      </c>
      <c r="D319" s="284">
        <v>33640.42</v>
      </c>
      <c r="E319" s="74"/>
      <c r="F319" s="74">
        <f t="shared" si="192"/>
        <v>110095.05000000032</v>
      </c>
      <c r="G319" s="286">
        <f t="shared" si="189"/>
        <v>0</v>
      </c>
      <c r="H319" s="1119"/>
      <c r="I319" s="287"/>
      <c r="J319" s="285">
        <f t="shared" si="193"/>
        <v>0</v>
      </c>
      <c r="K319" s="274">
        <f t="shared" si="190"/>
        <v>-1433.6500000000003</v>
      </c>
      <c r="L319" s="1069">
        <v>1957.82</v>
      </c>
      <c r="M319" s="818">
        <v>1063.71</v>
      </c>
      <c r="N319" s="108">
        <f t="shared" si="194"/>
        <v>-539.5400000000004</v>
      </c>
      <c r="O319" s="274">
        <f t="shared" si="191"/>
        <v>574.4499999999996</v>
      </c>
      <c r="P319" s="289">
        <v>53.88</v>
      </c>
      <c r="Q319" s="289">
        <v>28.33</v>
      </c>
      <c r="R319" s="290">
        <v>14.13</v>
      </c>
      <c r="S319" s="291">
        <f t="shared" si="195"/>
        <v>614.1999999999996</v>
      </c>
      <c r="T319" s="800">
        <f t="shared" si="196"/>
        <v>14.13</v>
      </c>
      <c r="U319" s="801">
        <f t="shared" si="197"/>
        <v>1063.71</v>
      </c>
      <c r="V319" s="801">
        <f t="shared" si="198"/>
        <v>0</v>
      </c>
      <c r="W319" s="802">
        <f t="shared" si="199"/>
        <v>1077.8400000000001</v>
      </c>
      <c r="X319" s="295">
        <f t="shared" si="200"/>
        <v>36717.689999999995</v>
      </c>
      <c r="Y319" s="292">
        <f t="shared" si="201"/>
        <v>34718.259999999995</v>
      </c>
      <c r="Z319" s="583">
        <f t="shared" si="202"/>
        <v>33654.549999999996</v>
      </c>
    </row>
    <row r="320" spans="1:26" ht="18.75">
      <c r="A320" s="431" t="s">
        <v>16</v>
      </c>
      <c r="B320" s="74">
        <f t="shared" si="188"/>
        <v>31692.60000000007</v>
      </c>
      <c r="C320" s="283">
        <v>28244.23</v>
      </c>
      <c r="D320" s="284">
        <v>30471.02</v>
      </c>
      <c r="E320" s="74"/>
      <c r="F320" s="74">
        <f t="shared" si="192"/>
        <v>29465.810000000074</v>
      </c>
      <c r="G320" s="286">
        <f t="shared" si="189"/>
        <v>0</v>
      </c>
      <c r="H320" s="1119"/>
      <c r="I320" s="287"/>
      <c r="J320" s="285">
        <f t="shared" si="193"/>
        <v>0</v>
      </c>
      <c r="K320" s="274">
        <f t="shared" si="190"/>
        <v>1745.8200000000022</v>
      </c>
      <c r="L320" s="1069">
        <v>290.97</v>
      </c>
      <c r="M320" s="1129"/>
      <c r="N320" s="108">
        <f t="shared" si="194"/>
        <v>2036.7900000000022</v>
      </c>
      <c r="O320" s="274">
        <f t="shared" si="191"/>
        <v>83.76</v>
      </c>
      <c r="P320" s="289">
        <v>44.25</v>
      </c>
      <c r="Q320" s="289">
        <v>0.96</v>
      </c>
      <c r="R320" s="290">
        <v>14.89</v>
      </c>
      <c r="S320" s="291">
        <f t="shared" si="195"/>
        <v>113.11999999999999</v>
      </c>
      <c r="T320" s="800">
        <f t="shared" si="196"/>
        <v>14.89</v>
      </c>
      <c r="U320" s="801">
        <f t="shared" si="197"/>
        <v>0</v>
      </c>
      <c r="V320" s="801">
        <f t="shared" si="198"/>
        <v>0</v>
      </c>
      <c r="W320" s="802">
        <f t="shared" si="199"/>
        <v>14.89</v>
      </c>
      <c r="X320" s="295">
        <f t="shared" si="200"/>
        <v>28579.45</v>
      </c>
      <c r="Y320" s="292">
        <f t="shared" si="201"/>
        <v>30485.91</v>
      </c>
      <c r="Z320" s="583">
        <f t="shared" si="202"/>
        <v>30485.91</v>
      </c>
    </row>
    <row r="321" spans="1:26" ht="18.75">
      <c r="A321" s="431" t="s">
        <v>17</v>
      </c>
      <c r="B321" s="74">
        <f t="shared" si="188"/>
        <v>55621.360000000284</v>
      </c>
      <c r="C321" s="283">
        <v>36774.58</v>
      </c>
      <c r="D321" s="284">
        <v>36042.86</v>
      </c>
      <c r="E321" s="74"/>
      <c r="F321" s="74">
        <f t="shared" si="192"/>
        <v>56353.08000000029</v>
      </c>
      <c r="G321" s="286">
        <f t="shared" si="189"/>
        <v>8472.050000000003</v>
      </c>
      <c r="H321" s="1120">
        <v>368.35</v>
      </c>
      <c r="I321" s="287"/>
      <c r="J321" s="285">
        <f t="shared" si="193"/>
        <v>8840.400000000003</v>
      </c>
      <c r="K321" s="274">
        <f t="shared" si="190"/>
        <v>619.5699999999998</v>
      </c>
      <c r="L321" s="1069">
        <v>619.57</v>
      </c>
      <c r="M321" s="1129">
        <v>619.57</v>
      </c>
      <c r="N321" s="108">
        <f t="shared" si="194"/>
        <v>619.5699999999998</v>
      </c>
      <c r="O321" s="274">
        <f t="shared" si="191"/>
        <v>113.33000000000004</v>
      </c>
      <c r="P321" s="289">
        <v>16.77</v>
      </c>
      <c r="Q321" s="289">
        <v>0.1</v>
      </c>
      <c r="R321" s="290"/>
      <c r="S321" s="291">
        <f t="shared" si="195"/>
        <v>130.10000000000005</v>
      </c>
      <c r="T321" s="800">
        <f t="shared" si="196"/>
        <v>0</v>
      </c>
      <c r="U321" s="803">
        <f t="shared" si="197"/>
        <v>619.57</v>
      </c>
      <c r="V321" s="801">
        <f t="shared" si="198"/>
        <v>0</v>
      </c>
      <c r="W321" s="802">
        <f t="shared" si="199"/>
        <v>619.57</v>
      </c>
      <c r="X321" s="295">
        <f t="shared" si="200"/>
        <v>37779.27</v>
      </c>
      <c r="Y321" s="292">
        <f t="shared" si="201"/>
        <v>36662.43</v>
      </c>
      <c r="Z321" s="583">
        <f t="shared" si="202"/>
        <v>36042.86</v>
      </c>
    </row>
    <row r="322" spans="1:26" ht="18.75">
      <c r="A322" s="431" t="s">
        <v>18</v>
      </c>
      <c r="B322" s="74">
        <f t="shared" si="188"/>
        <v>163389.59000000008</v>
      </c>
      <c r="C322" s="283">
        <v>78377.46</v>
      </c>
      <c r="D322" s="284">
        <v>73966.31</v>
      </c>
      <c r="E322" s="74"/>
      <c r="F322" s="74">
        <f t="shared" si="192"/>
        <v>167800.7400000001</v>
      </c>
      <c r="G322" s="286">
        <f t="shared" si="189"/>
        <v>840.0499999999986</v>
      </c>
      <c r="H322" s="1119"/>
      <c r="I322" s="287"/>
      <c r="J322" s="285">
        <f t="shared" si="193"/>
        <v>840.0499999999986</v>
      </c>
      <c r="K322" s="274">
        <f t="shared" si="190"/>
        <v>371</v>
      </c>
      <c r="L322" s="1069">
        <v>2216.46</v>
      </c>
      <c r="M322" s="1129">
        <v>2587.46</v>
      </c>
      <c r="N322" s="108">
        <f t="shared" si="194"/>
        <v>0</v>
      </c>
      <c r="O322" s="274">
        <f t="shared" si="191"/>
        <v>185.79000000000016</v>
      </c>
      <c r="P322" s="289">
        <v>53.48</v>
      </c>
      <c r="Q322" s="289">
        <v>23.28</v>
      </c>
      <c r="R322" s="290"/>
      <c r="S322" s="291">
        <f t="shared" si="195"/>
        <v>239.27000000000015</v>
      </c>
      <c r="T322" s="800">
        <f t="shared" si="196"/>
        <v>0</v>
      </c>
      <c r="U322" s="801">
        <f t="shared" si="197"/>
        <v>2587.46</v>
      </c>
      <c r="V322" s="801">
        <f t="shared" si="198"/>
        <v>0</v>
      </c>
      <c r="W322" s="802">
        <f t="shared" si="199"/>
        <v>2587.46</v>
      </c>
      <c r="X322" s="295">
        <f t="shared" si="200"/>
        <v>80647.40000000001</v>
      </c>
      <c r="Y322" s="292">
        <f t="shared" si="201"/>
        <v>76553.77</v>
      </c>
      <c r="Z322" s="583">
        <f t="shared" si="202"/>
        <v>73966.31</v>
      </c>
    </row>
    <row r="323" spans="1:26" ht="18.75">
      <c r="A323" s="431" t="s">
        <v>54</v>
      </c>
      <c r="B323" s="74">
        <f t="shared" si="188"/>
        <v>59494.79000000034</v>
      </c>
      <c r="C323" s="283">
        <v>33617.9</v>
      </c>
      <c r="D323" s="284">
        <v>35875.86</v>
      </c>
      <c r="E323" s="74"/>
      <c r="F323" s="74">
        <f t="shared" si="192"/>
        <v>57236.83000000035</v>
      </c>
      <c r="G323" s="286">
        <f t="shared" si="189"/>
        <v>6923.800000000001</v>
      </c>
      <c r="H323" s="1120">
        <v>261.82</v>
      </c>
      <c r="I323" s="287"/>
      <c r="J323" s="285">
        <f t="shared" si="193"/>
        <v>7185.620000000001</v>
      </c>
      <c r="K323" s="274">
        <f t="shared" si="190"/>
        <v>0</v>
      </c>
      <c r="L323" s="1040"/>
      <c r="M323" s="818"/>
      <c r="N323" s="108">
        <f t="shared" si="194"/>
        <v>0</v>
      </c>
      <c r="O323" s="274">
        <f t="shared" si="191"/>
        <v>-1826.36</v>
      </c>
      <c r="P323" s="289">
        <v>24.33</v>
      </c>
      <c r="Q323" s="289">
        <v>13.97</v>
      </c>
      <c r="R323" s="290"/>
      <c r="S323" s="291">
        <f t="shared" si="195"/>
        <v>-1802.03</v>
      </c>
      <c r="T323" s="800">
        <f t="shared" si="196"/>
        <v>0</v>
      </c>
      <c r="U323" s="801">
        <f t="shared" si="197"/>
        <v>0</v>
      </c>
      <c r="V323" s="801">
        <f t="shared" si="198"/>
        <v>0</v>
      </c>
      <c r="W323" s="802">
        <f t="shared" si="199"/>
        <v>0</v>
      </c>
      <c r="X323" s="295">
        <f t="shared" si="200"/>
        <v>33904.05</v>
      </c>
      <c r="Y323" s="292">
        <f t="shared" si="201"/>
        <v>35875.86</v>
      </c>
      <c r="Z323" s="583">
        <f t="shared" si="202"/>
        <v>35875.86</v>
      </c>
    </row>
    <row r="324" spans="1:26" ht="18.75">
      <c r="A324" s="431" t="s">
        <v>49</v>
      </c>
      <c r="B324" s="74">
        <f t="shared" si="188"/>
        <v>201893.9500000002</v>
      </c>
      <c r="C324" s="283">
        <v>71492.24</v>
      </c>
      <c r="D324" s="284">
        <v>68630.76</v>
      </c>
      <c r="E324" s="74"/>
      <c r="F324" s="74">
        <f t="shared" si="192"/>
        <v>204755.43000000017</v>
      </c>
      <c r="G324" s="286">
        <f t="shared" si="189"/>
        <v>18796.98</v>
      </c>
      <c r="H324" s="1120">
        <v>817.26</v>
      </c>
      <c r="I324" s="287"/>
      <c r="J324" s="285">
        <f>G324+H324-I324</f>
        <v>19614.239999999998</v>
      </c>
      <c r="K324" s="274">
        <f t="shared" si="190"/>
        <v>4528.960000000005</v>
      </c>
      <c r="L324" s="1069">
        <v>3396.24</v>
      </c>
      <c r="M324" s="1129">
        <v>4598.28</v>
      </c>
      <c r="N324" s="108">
        <f t="shared" si="194"/>
        <v>3326.9200000000046</v>
      </c>
      <c r="O324" s="274">
        <f t="shared" si="191"/>
        <v>-1003.4400000000003</v>
      </c>
      <c r="P324" s="289">
        <v>107.99</v>
      </c>
      <c r="Q324" s="289">
        <v>42.82</v>
      </c>
      <c r="R324" s="290"/>
      <c r="S324" s="291">
        <f t="shared" si="195"/>
        <v>-895.4500000000003</v>
      </c>
      <c r="T324" s="800">
        <f t="shared" si="196"/>
        <v>0</v>
      </c>
      <c r="U324" s="801">
        <f t="shared" si="197"/>
        <v>4598.28</v>
      </c>
      <c r="V324" s="801">
        <f t="shared" si="198"/>
        <v>0</v>
      </c>
      <c r="W324" s="802">
        <f t="shared" si="199"/>
        <v>4598.28</v>
      </c>
      <c r="X324" s="295">
        <f>C324+H324+L324+P324</f>
        <v>75813.73000000001</v>
      </c>
      <c r="Y324" s="292">
        <f t="shared" si="201"/>
        <v>73229.04</v>
      </c>
      <c r="Z324" s="583">
        <f t="shared" si="202"/>
        <v>68630.76</v>
      </c>
    </row>
    <row r="325" spans="1:26" ht="18.75">
      <c r="A325" s="431" t="s">
        <v>19</v>
      </c>
      <c r="B325" s="74">
        <f t="shared" si="188"/>
        <v>88738.87999999996</v>
      </c>
      <c r="C325" s="283">
        <v>52752.49</v>
      </c>
      <c r="D325" s="284">
        <v>49789.67</v>
      </c>
      <c r="E325" s="74"/>
      <c r="F325" s="74">
        <f t="shared" si="192"/>
        <v>91701.69999999997</v>
      </c>
      <c r="G325" s="286">
        <f t="shared" si="189"/>
        <v>8609.439999999997</v>
      </c>
      <c r="H325" s="1120">
        <v>356.69</v>
      </c>
      <c r="I325" s="287"/>
      <c r="J325" s="285">
        <f t="shared" si="193"/>
        <v>8966.129999999997</v>
      </c>
      <c r="K325" s="274">
        <f t="shared" si="190"/>
        <v>2494.3000000000006</v>
      </c>
      <c r="L325" s="1069">
        <v>669.39</v>
      </c>
      <c r="M325" s="1129">
        <v>1648.6</v>
      </c>
      <c r="N325" s="108">
        <f t="shared" si="194"/>
        <v>1515.0900000000006</v>
      </c>
      <c r="O325" s="274">
        <f t="shared" si="191"/>
        <v>1313.3800000000006</v>
      </c>
      <c r="P325" s="289">
        <v>36.2</v>
      </c>
      <c r="Q325" s="289">
        <v>13.63</v>
      </c>
      <c r="R325" s="290"/>
      <c r="S325" s="291">
        <f t="shared" si="195"/>
        <v>1349.5800000000006</v>
      </c>
      <c r="T325" s="800">
        <f t="shared" si="196"/>
        <v>0</v>
      </c>
      <c r="U325" s="801">
        <f t="shared" si="197"/>
        <v>1648.6</v>
      </c>
      <c r="V325" s="801">
        <f t="shared" si="198"/>
        <v>0</v>
      </c>
      <c r="W325" s="802">
        <f t="shared" si="199"/>
        <v>1648.6</v>
      </c>
      <c r="X325" s="295">
        <f aca="true" t="shared" si="203" ref="X325:X334">C325+H325+L325+P325</f>
        <v>53814.77</v>
      </c>
      <c r="Y325" s="292">
        <f t="shared" si="201"/>
        <v>51438.27</v>
      </c>
      <c r="Z325" s="583">
        <f t="shared" si="202"/>
        <v>49789.67</v>
      </c>
    </row>
    <row r="326" spans="1:26" ht="18.75">
      <c r="A326" s="431" t="s">
        <v>20</v>
      </c>
      <c r="B326" s="74">
        <f t="shared" si="188"/>
        <v>66900.75000000007</v>
      </c>
      <c r="C326" s="283">
        <v>34274.05</v>
      </c>
      <c r="D326" s="284">
        <v>34157.47</v>
      </c>
      <c r="E326" s="74"/>
      <c r="F326" s="74">
        <f t="shared" si="192"/>
        <v>67017.33000000007</v>
      </c>
      <c r="G326" s="286">
        <f t="shared" si="189"/>
        <v>0</v>
      </c>
      <c r="H326" s="1121"/>
      <c r="I326" s="287"/>
      <c r="J326" s="285">
        <f t="shared" si="193"/>
        <v>0</v>
      </c>
      <c r="K326" s="274">
        <f t="shared" si="190"/>
        <v>4740.57</v>
      </c>
      <c r="L326" s="1071">
        <v>689</v>
      </c>
      <c r="M326" s="1130">
        <v>689</v>
      </c>
      <c r="N326" s="108">
        <f t="shared" si="194"/>
        <v>4740.57</v>
      </c>
      <c r="O326" s="274">
        <f t="shared" si="191"/>
        <v>143.72999999999993</v>
      </c>
      <c r="P326" s="289">
        <v>17.36</v>
      </c>
      <c r="Q326" s="289">
        <v>0.82</v>
      </c>
      <c r="R326" s="290"/>
      <c r="S326" s="291">
        <f t="shared" si="195"/>
        <v>161.08999999999992</v>
      </c>
      <c r="T326" s="800">
        <f t="shared" si="196"/>
        <v>0</v>
      </c>
      <c r="U326" s="801">
        <f t="shared" si="197"/>
        <v>689</v>
      </c>
      <c r="V326" s="801">
        <f t="shared" si="198"/>
        <v>0</v>
      </c>
      <c r="W326" s="802">
        <f t="shared" si="199"/>
        <v>689</v>
      </c>
      <c r="X326" s="295">
        <f t="shared" si="203"/>
        <v>34980.41</v>
      </c>
      <c r="Y326" s="292">
        <f t="shared" si="201"/>
        <v>34846.47</v>
      </c>
      <c r="Z326" s="583">
        <f t="shared" si="202"/>
        <v>34157.47</v>
      </c>
    </row>
    <row r="327" spans="1:26" ht="18.75">
      <c r="A327" s="431" t="s">
        <v>114</v>
      </c>
      <c r="B327" s="74">
        <f t="shared" si="188"/>
        <v>-440293.35000000044</v>
      </c>
      <c r="C327" s="283">
        <v>41833.43</v>
      </c>
      <c r="D327" s="284">
        <v>45528.39</v>
      </c>
      <c r="E327" s="74"/>
      <c r="F327" s="74">
        <f t="shared" si="192"/>
        <v>-443988.31000000046</v>
      </c>
      <c r="G327" s="286">
        <f t="shared" si="189"/>
        <v>2687.1</v>
      </c>
      <c r="H327" s="1078">
        <v>268.71</v>
      </c>
      <c r="I327" s="287"/>
      <c r="J327" s="285">
        <f t="shared" si="193"/>
        <v>2955.81</v>
      </c>
      <c r="K327" s="274">
        <f t="shared" si="190"/>
        <v>1421.96</v>
      </c>
      <c r="L327" s="1070">
        <v>1421.46</v>
      </c>
      <c r="M327" s="1130">
        <v>1421.46</v>
      </c>
      <c r="N327" s="108">
        <f t="shared" si="194"/>
        <v>1421.96</v>
      </c>
      <c r="O327" s="274">
        <f t="shared" si="191"/>
        <v>62.41</v>
      </c>
      <c r="P327" s="289">
        <v>102.9</v>
      </c>
      <c r="Q327" s="289">
        <v>4.73</v>
      </c>
      <c r="R327" s="290">
        <f>53.52+4775.35</f>
        <v>4828.870000000001</v>
      </c>
      <c r="S327" s="291">
        <f t="shared" si="195"/>
        <v>-4663.56</v>
      </c>
      <c r="T327" s="800">
        <f t="shared" si="196"/>
        <v>4828.870000000001</v>
      </c>
      <c r="U327" s="801">
        <f t="shared" si="197"/>
        <v>1421.46</v>
      </c>
      <c r="V327" s="801">
        <f t="shared" si="198"/>
        <v>0</v>
      </c>
      <c r="W327" s="802">
        <f t="shared" si="199"/>
        <v>6250.330000000001</v>
      </c>
      <c r="X327" s="295">
        <f t="shared" si="203"/>
        <v>43626.5</v>
      </c>
      <c r="Y327" s="292">
        <f t="shared" si="201"/>
        <v>51778.72</v>
      </c>
      <c r="Z327" s="583">
        <f t="shared" si="202"/>
        <v>50357.26</v>
      </c>
    </row>
    <row r="328" spans="1:31" ht="19.5" customHeight="1">
      <c r="A328" s="431" t="s">
        <v>141</v>
      </c>
      <c r="B328" s="74">
        <f t="shared" si="188"/>
        <v>20854.479999999927</v>
      </c>
      <c r="C328" s="283">
        <v>14903.07</v>
      </c>
      <c r="D328" s="283">
        <v>13964.55</v>
      </c>
      <c r="E328" s="74"/>
      <c r="F328" s="74">
        <f t="shared" si="192"/>
        <v>21792.99999999993</v>
      </c>
      <c r="G328" s="286">
        <f t="shared" si="189"/>
        <v>0</v>
      </c>
      <c r="H328" s="1122"/>
      <c r="I328" s="287"/>
      <c r="J328" s="285">
        <f t="shared" si="193"/>
        <v>0</v>
      </c>
      <c r="K328" s="274">
        <f t="shared" si="190"/>
        <v>0</v>
      </c>
      <c r="L328" s="1043"/>
      <c r="M328" s="1130"/>
      <c r="N328" s="108">
        <f t="shared" si="194"/>
        <v>0</v>
      </c>
      <c r="O328" s="274">
        <f t="shared" si="191"/>
        <v>72.06000000000002</v>
      </c>
      <c r="P328" s="289">
        <v>23.72</v>
      </c>
      <c r="Q328" s="289">
        <v>2.87</v>
      </c>
      <c r="R328" s="290">
        <v>10.84</v>
      </c>
      <c r="S328" s="291">
        <f t="shared" si="195"/>
        <v>84.94000000000001</v>
      </c>
      <c r="T328" s="800">
        <f t="shared" si="196"/>
        <v>10.84</v>
      </c>
      <c r="U328" s="801">
        <f t="shared" si="197"/>
        <v>0</v>
      </c>
      <c r="V328" s="801">
        <f t="shared" si="198"/>
        <v>0</v>
      </c>
      <c r="W328" s="802">
        <f t="shared" si="199"/>
        <v>10.84</v>
      </c>
      <c r="X328" s="295">
        <f t="shared" si="203"/>
        <v>14926.789999999999</v>
      </c>
      <c r="Y328" s="292">
        <f t="shared" si="201"/>
        <v>13975.39</v>
      </c>
      <c r="Z328" s="583">
        <f t="shared" si="202"/>
        <v>13975.39</v>
      </c>
      <c r="AA328" s="11"/>
      <c r="AB328" s="11"/>
      <c r="AC328" s="11"/>
      <c r="AD328" s="11"/>
      <c r="AE328" s="11"/>
    </row>
    <row r="329" spans="1:31" ht="18.75">
      <c r="A329" s="708" t="s">
        <v>188</v>
      </c>
      <c r="B329" s="74">
        <f t="shared" si="188"/>
        <v>13989.279999999933</v>
      </c>
      <c r="C329" s="760">
        <v>39551.25</v>
      </c>
      <c r="D329" s="761">
        <v>36990.26</v>
      </c>
      <c r="E329" s="74"/>
      <c r="F329" s="74">
        <f t="shared" si="192"/>
        <v>16550.26999999993</v>
      </c>
      <c r="G329" s="286">
        <f t="shared" si="189"/>
        <v>5760.570000000001</v>
      </c>
      <c r="H329" s="1123">
        <v>338.67</v>
      </c>
      <c r="I329" s="258"/>
      <c r="J329" s="285">
        <f t="shared" si="193"/>
        <v>6099.240000000001</v>
      </c>
      <c r="K329" s="274">
        <f t="shared" si="190"/>
        <v>-25086.109999999997</v>
      </c>
      <c r="L329" s="1072">
        <f>666.74+435.13+359.87</f>
        <v>1461.7399999999998</v>
      </c>
      <c r="M329" s="1129">
        <v>6622.28</v>
      </c>
      <c r="N329" s="108">
        <f t="shared" si="194"/>
        <v>-30246.649999999994</v>
      </c>
      <c r="O329" s="274">
        <f t="shared" si="191"/>
        <v>-16553.770000000004</v>
      </c>
      <c r="P329" s="1132">
        <v>57.42</v>
      </c>
      <c r="Q329" s="1132">
        <v>15.34</v>
      </c>
      <c r="R329" s="1133">
        <v>10.25</v>
      </c>
      <c r="S329" s="291">
        <f t="shared" si="195"/>
        <v>-16506.600000000006</v>
      </c>
      <c r="T329" s="800">
        <f t="shared" si="196"/>
        <v>10.25</v>
      </c>
      <c r="U329" s="801">
        <f t="shared" si="197"/>
        <v>6622.28</v>
      </c>
      <c r="V329" s="801">
        <f t="shared" si="198"/>
        <v>0</v>
      </c>
      <c r="W329" s="802">
        <f t="shared" si="199"/>
        <v>6632.53</v>
      </c>
      <c r="X329" s="295">
        <f t="shared" si="203"/>
        <v>41409.079999999994</v>
      </c>
      <c r="Y329" s="292">
        <f t="shared" si="201"/>
        <v>43622.79</v>
      </c>
      <c r="Z329" s="583">
        <f t="shared" si="202"/>
        <v>37000.51</v>
      </c>
      <c r="AA329" s="754"/>
      <c r="AB329" s="755"/>
      <c r="AC329" s="756"/>
      <c r="AD329" s="757"/>
      <c r="AE329" s="758"/>
    </row>
    <row r="330" spans="1:31" ht="18.75">
      <c r="A330" s="709" t="s">
        <v>189</v>
      </c>
      <c r="B330" s="74">
        <f t="shared" si="188"/>
        <v>100739</v>
      </c>
      <c r="C330" s="760">
        <v>45631.94</v>
      </c>
      <c r="D330" s="761">
        <f>51320.39-45.83</f>
        <v>51274.56</v>
      </c>
      <c r="E330" s="74"/>
      <c r="F330" s="74">
        <f t="shared" si="192"/>
        <v>95096.38</v>
      </c>
      <c r="G330" s="286">
        <f t="shared" si="189"/>
        <v>27855.74</v>
      </c>
      <c r="H330" s="1123">
        <v>2162.4</v>
      </c>
      <c r="I330" s="258"/>
      <c r="J330" s="285">
        <f t="shared" si="193"/>
        <v>30018.140000000003</v>
      </c>
      <c r="K330" s="274">
        <f t="shared" si="190"/>
        <v>-13456.509999999995</v>
      </c>
      <c r="L330" s="1072">
        <v>701.19</v>
      </c>
      <c r="M330" s="1131">
        <v>701.19</v>
      </c>
      <c r="N330" s="108">
        <f t="shared" si="194"/>
        <v>-13456.509999999995</v>
      </c>
      <c r="O330" s="274">
        <f t="shared" si="191"/>
        <v>-69597.74</v>
      </c>
      <c r="P330" s="1132">
        <v>133.02</v>
      </c>
      <c r="Q330" s="1132">
        <v>9.49</v>
      </c>
      <c r="R330" s="1133"/>
      <c r="S330" s="291">
        <f t="shared" si="195"/>
        <v>-69464.72</v>
      </c>
      <c r="T330" s="800">
        <f t="shared" si="196"/>
        <v>0</v>
      </c>
      <c r="U330" s="801">
        <f t="shared" si="197"/>
        <v>701.19</v>
      </c>
      <c r="V330" s="801">
        <f t="shared" si="198"/>
        <v>0</v>
      </c>
      <c r="W330" s="802">
        <f t="shared" si="199"/>
        <v>701.19</v>
      </c>
      <c r="X330" s="295">
        <f t="shared" si="203"/>
        <v>48628.55</v>
      </c>
      <c r="Y330" s="292">
        <f t="shared" si="201"/>
        <v>51975.75</v>
      </c>
      <c r="Z330" s="583">
        <f t="shared" si="202"/>
        <v>51274.56</v>
      </c>
      <c r="AA330" s="754"/>
      <c r="AB330" s="755"/>
      <c r="AC330" s="756"/>
      <c r="AD330" s="757"/>
      <c r="AE330" s="758"/>
    </row>
    <row r="331" spans="1:31" ht="18.75">
      <c r="A331" s="709" t="s">
        <v>218</v>
      </c>
      <c r="B331" s="74">
        <f t="shared" si="188"/>
        <v>128794.29000000001</v>
      </c>
      <c r="C331" s="760">
        <v>42325.8</v>
      </c>
      <c r="D331" s="761">
        <v>64425.82</v>
      </c>
      <c r="E331" s="74"/>
      <c r="F331" s="74">
        <f t="shared" si="192"/>
        <v>106694.27000000002</v>
      </c>
      <c r="G331" s="286">
        <f t="shared" si="189"/>
        <v>0</v>
      </c>
      <c r="H331" s="1125">
        <v>0</v>
      </c>
      <c r="I331" s="258"/>
      <c r="J331" s="285">
        <f t="shared" si="193"/>
        <v>0</v>
      </c>
      <c r="K331" s="274">
        <f t="shared" si="190"/>
        <v>-62303.45</v>
      </c>
      <c r="L331" s="1072">
        <v>642.36</v>
      </c>
      <c r="M331" s="1131">
        <v>1284.72</v>
      </c>
      <c r="N331" s="108">
        <f t="shared" si="194"/>
        <v>-62945.81</v>
      </c>
      <c r="O331" s="274">
        <f t="shared" si="191"/>
        <v>-73442.26000000002</v>
      </c>
      <c r="P331" s="1132">
        <v>551.1</v>
      </c>
      <c r="Q331" s="1132">
        <v>4.84</v>
      </c>
      <c r="R331" s="1133">
        <f>226.88+3803.86</f>
        <v>4030.7400000000002</v>
      </c>
      <c r="S331" s="291">
        <f t="shared" si="195"/>
        <v>-76921.90000000002</v>
      </c>
      <c r="T331" s="800">
        <f t="shared" si="196"/>
        <v>4030.7400000000002</v>
      </c>
      <c r="U331" s="801">
        <f t="shared" si="197"/>
        <v>1284.72</v>
      </c>
      <c r="V331" s="801">
        <f t="shared" si="198"/>
        <v>0</v>
      </c>
      <c r="W331" s="802">
        <f t="shared" si="199"/>
        <v>5315.46</v>
      </c>
      <c r="X331" s="295">
        <f t="shared" si="203"/>
        <v>43519.26</v>
      </c>
      <c r="Y331" s="292">
        <f t="shared" si="201"/>
        <v>69741.28</v>
      </c>
      <c r="Z331" s="583">
        <f t="shared" si="202"/>
        <v>68456.56</v>
      </c>
      <c r="AA331" s="754"/>
      <c r="AB331" s="755"/>
      <c r="AC331" s="756"/>
      <c r="AD331" s="757"/>
      <c r="AE331" s="758"/>
    </row>
    <row r="332" spans="1:31" ht="18.75">
      <c r="A332" s="709" t="s">
        <v>250</v>
      </c>
      <c r="B332" s="74">
        <f t="shared" si="188"/>
        <v>82028.75000000001</v>
      </c>
      <c r="C332" s="760">
        <v>15747.89</v>
      </c>
      <c r="D332" s="761">
        <v>26066.03</v>
      </c>
      <c r="E332" s="74"/>
      <c r="F332" s="74">
        <f t="shared" si="192"/>
        <v>71710.61000000002</v>
      </c>
      <c r="G332" s="286">
        <f t="shared" si="189"/>
        <v>0</v>
      </c>
      <c r="H332" s="1125">
        <v>0</v>
      </c>
      <c r="I332" s="258"/>
      <c r="J332" s="285">
        <f t="shared" si="193"/>
        <v>0</v>
      </c>
      <c r="K332" s="274">
        <f t="shared" si="190"/>
        <v>0</v>
      </c>
      <c r="L332" s="1043">
        <v>0</v>
      </c>
      <c r="M332" s="1131"/>
      <c r="N332" s="108">
        <f t="shared" si="194"/>
        <v>0</v>
      </c>
      <c r="O332" s="274">
        <f t="shared" si="191"/>
        <v>8715.55</v>
      </c>
      <c r="P332" s="1132">
        <v>689.73</v>
      </c>
      <c r="Q332" s="1132">
        <v>77.22</v>
      </c>
      <c r="R332" s="1133">
        <f>796.1+2256.37-581.83</f>
        <v>2470.64</v>
      </c>
      <c r="S332" s="291">
        <f t="shared" si="195"/>
        <v>6934.639999999999</v>
      </c>
      <c r="T332" s="800">
        <f t="shared" si="196"/>
        <v>2470.64</v>
      </c>
      <c r="U332" s="801">
        <f t="shared" si="197"/>
        <v>0</v>
      </c>
      <c r="V332" s="801">
        <f t="shared" si="198"/>
        <v>0</v>
      </c>
      <c r="W332" s="802">
        <f t="shared" si="199"/>
        <v>2470.64</v>
      </c>
      <c r="X332" s="295">
        <f t="shared" si="203"/>
        <v>16437.62</v>
      </c>
      <c r="Y332" s="292">
        <f t="shared" si="201"/>
        <v>28536.67</v>
      </c>
      <c r="Z332" s="583">
        <f t="shared" si="202"/>
        <v>28536.67</v>
      </c>
      <c r="AA332" s="754"/>
      <c r="AB332" s="755"/>
      <c r="AC332" s="756"/>
      <c r="AD332" s="757"/>
      <c r="AE332" s="758"/>
    </row>
    <row r="333" spans="1:31" ht="18.75">
      <c r="A333" s="709" t="s">
        <v>303</v>
      </c>
      <c r="B333" s="74">
        <f t="shared" si="188"/>
        <v>546104.2299999999</v>
      </c>
      <c r="C333" s="760">
        <v>55434.82</v>
      </c>
      <c r="D333" s="761">
        <f>141031.84+13663.29-27527.16-377.23</f>
        <v>126790.74</v>
      </c>
      <c r="E333" s="74"/>
      <c r="F333" s="74">
        <f t="shared" si="192"/>
        <v>474748.3099999998</v>
      </c>
      <c r="G333" s="286">
        <f t="shared" si="189"/>
        <v>0</v>
      </c>
      <c r="H333" s="1126">
        <v>0</v>
      </c>
      <c r="I333" s="258"/>
      <c r="J333" s="285">
        <f t="shared" si="193"/>
        <v>0</v>
      </c>
      <c r="K333" s="274">
        <f t="shared" si="190"/>
        <v>27991.04</v>
      </c>
      <c r="L333" s="692">
        <v>1674.27</v>
      </c>
      <c r="M333" s="1131">
        <v>1674.27</v>
      </c>
      <c r="N333" s="108">
        <f t="shared" si="194"/>
        <v>27991.04</v>
      </c>
      <c r="O333" s="274">
        <f t="shared" si="191"/>
        <v>-2072.3599999999997</v>
      </c>
      <c r="P333" s="1132">
        <v>10.27</v>
      </c>
      <c r="Q333" s="1132"/>
      <c r="R333" s="1133">
        <v>9.93</v>
      </c>
      <c r="S333" s="291">
        <f t="shared" si="195"/>
        <v>-2072.0199999999995</v>
      </c>
      <c r="T333" s="800">
        <f t="shared" si="196"/>
        <v>9.93</v>
      </c>
      <c r="U333" s="801">
        <f t="shared" si="197"/>
        <v>1674.27</v>
      </c>
      <c r="V333" s="801">
        <f t="shared" si="198"/>
        <v>0</v>
      </c>
      <c r="W333" s="802">
        <f t="shared" si="199"/>
        <v>1684.2</v>
      </c>
      <c r="X333" s="295">
        <f t="shared" si="203"/>
        <v>57119.35999999999</v>
      </c>
      <c r="Y333" s="292">
        <f t="shared" si="201"/>
        <v>128474.94</v>
      </c>
      <c r="Z333" s="583">
        <f t="shared" si="202"/>
        <v>126800.67</v>
      </c>
      <c r="AA333" s="754"/>
      <c r="AB333" s="755"/>
      <c r="AC333" s="756"/>
      <c r="AD333" s="757"/>
      <c r="AE333" s="758"/>
    </row>
    <row r="334" spans="1:31" ht="18.75">
      <c r="A334" s="709" t="s">
        <v>317</v>
      </c>
      <c r="B334" s="74">
        <f t="shared" si="188"/>
        <v>54966.92</v>
      </c>
      <c r="C334" s="760">
        <v>56710</v>
      </c>
      <c r="D334" s="761">
        <v>46980.08</v>
      </c>
      <c r="E334" s="74"/>
      <c r="F334" s="74">
        <f t="shared" si="192"/>
        <v>64696.84</v>
      </c>
      <c r="G334" s="286">
        <f t="shared" si="189"/>
        <v>0</v>
      </c>
      <c r="H334" s="1127">
        <v>0</v>
      </c>
      <c r="I334" s="258"/>
      <c r="J334" s="285">
        <f t="shared" si="193"/>
        <v>0</v>
      </c>
      <c r="K334" s="274">
        <f t="shared" si="190"/>
        <v>8001.57</v>
      </c>
      <c r="L334" s="1069">
        <v>5536.91</v>
      </c>
      <c r="M334" s="1131">
        <v>947.64</v>
      </c>
      <c r="N334" s="108">
        <f t="shared" si="194"/>
        <v>12590.84</v>
      </c>
      <c r="O334" s="274">
        <f t="shared" si="191"/>
        <v>0</v>
      </c>
      <c r="P334" s="1132"/>
      <c r="Q334" s="1132"/>
      <c r="R334" s="1133"/>
      <c r="S334" s="291">
        <f t="shared" si="195"/>
        <v>0</v>
      </c>
      <c r="T334" s="800">
        <f t="shared" si="196"/>
        <v>0</v>
      </c>
      <c r="U334" s="801">
        <f t="shared" si="197"/>
        <v>947.64</v>
      </c>
      <c r="V334" s="801">
        <f t="shared" si="198"/>
        <v>0</v>
      </c>
      <c r="W334" s="802">
        <f t="shared" si="199"/>
        <v>947.64</v>
      </c>
      <c r="X334" s="295">
        <f t="shared" si="203"/>
        <v>62246.91</v>
      </c>
      <c r="Y334" s="292">
        <f t="shared" si="201"/>
        <v>47927.72</v>
      </c>
      <c r="Z334" s="583">
        <f t="shared" si="202"/>
        <v>46980.08</v>
      </c>
      <c r="AA334" s="754"/>
      <c r="AB334" s="755"/>
      <c r="AC334" s="756"/>
      <c r="AD334" s="757"/>
      <c r="AE334" s="758"/>
    </row>
    <row r="335" spans="1:31" ht="38.25" customHeight="1">
      <c r="A335" s="495" t="s">
        <v>127</v>
      </c>
      <c r="B335" s="497">
        <f aca="true" t="shared" si="204" ref="B335:Z335">SUM(B308:B334)</f>
        <v>2359355.8400000012</v>
      </c>
      <c r="C335" s="372">
        <f t="shared" si="204"/>
        <v>949299.8600000001</v>
      </c>
      <c r="D335" s="497">
        <f t="shared" si="204"/>
        <v>1042578.45</v>
      </c>
      <c r="E335" s="497">
        <f t="shared" si="204"/>
        <v>0</v>
      </c>
      <c r="F335" s="497">
        <f t="shared" si="204"/>
        <v>2266077.2500000014</v>
      </c>
      <c r="G335" s="497">
        <f t="shared" si="204"/>
        <v>218895.11</v>
      </c>
      <c r="H335" s="1036">
        <f t="shared" si="204"/>
        <v>9722.08</v>
      </c>
      <c r="I335" s="497">
        <f t="shared" si="204"/>
        <v>0</v>
      </c>
      <c r="J335" s="497">
        <f t="shared" si="204"/>
        <v>228617.18999999994</v>
      </c>
      <c r="K335" s="497">
        <f t="shared" si="204"/>
        <v>-50209.94999999997</v>
      </c>
      <c r="L335" s="1124">
        <f t="shared" si="204"/>
        <v>32703.059999999994</v>
      </c>
      <c r="M335" s="1128">
        <f t="shared" si="204"/>
        <v>33025.06</v>
      </c>
      <c r="N335" s="497">
        <f t="shared" si="204"/>
        <v>-50531.94999999997</v>
      </c>
      <c r="O335" s="497">
        <f t="shared" si="204"/>
        <v>-157030.43000000005</v>
      </c>
      <c r="P335" s="370">
        <f t="shared" si="204"/>
        <v>2725.3</v>
      </c>
      <c r="Q335" s="370">
        <f t="shared" si="204"/>
        <v>360.4699999999999</v>
      </c>
      <c r="R335" s="370">
        <f t="shared" si="204"/>
        <v>11876.310000000001</v>
      </c>
      <c r="S335" s="497">
        <f t="shared" si="204"/>
        <v>-166181.44000000003</v>
      </c>
      <c r="T335" s="496">
        <f t="shared" si="204"/>
        <v>11876.310000000001</v>
      </c>
      <c r="U335" s="496">
        <f t="shared" si="204"/>
        <v>33025.06</v>
      </c>
      <c r="V335" s="496">
        <f t="shared" si="204"/>
        <v>0</v>
      </c>
      <c r="W335" s="496">
        <f t="shared" si="204"/>
        <v>44901.369999999995</v>
      </c>
      <c r="X335" s="497">
        <f t="shared" si="204"/>
        <v>994450.3000000002</v>
      </c>
      <c r="Y335" s="497">
        <f t="shared" si="204"/>
        <v>1087479.82</v>
      </c>
      <c r="Z335" s="583">
        <f t="shared" si="204"/>
        <v>1054454.7600000002</v>
      </c>
      <c r="AA335" s="11"/>
      <c r="AB335" s="11"/>
      <c r="AC335" s="11"/>
      <c r="AD335" s="11"/>
      <c r="AE335" s="11"/>
    </row>
    <row r="336" spans="1:30" ht="48" customHeight="1" thickBot="1">
      <c r="A336" s="68"/>
      <c r="B336" s="69" t="s">
        <v>361</v>
      </c>
      <c r="C336" s="69"/>
      <c r="D336" s="69"/>
      <c r="E336" s="69"/>
      <c r="F336" s="68"/>
      <c r="G336" s="240"/>
      <c r="H336" s="4"/>
      <c r="I336" s="240" t="s">
        <v>59</v>
      </c>
      <c r="J336" s="5"/>
      <c r="K336" s="6"/>
      <c r="L336" s="5"/>
      <c r="O336" s="2"/>
      <c r="Q336" s="236" t="s">
        <v>59</v>
      </c>
      <c r="T336" s="11"/>
      <c r="U336" s="11"/>
      <c r="V336" s="11"/>
      <c r="W336" s="11"/>
      <c r="AB336" s="1676"/>
      <c r="AC336" s="1676"/>
      <c r="AD336" s="1676"/>
    </row>
    <row r="337" spans="1:31" ht="18.75">
      <c r="A337" s="408" t="s">
        <v>142</v>
      </c>
      <c r="B337" s="1670" t="s">
        <v>225</v>
      </c>
      <c r="C337" s="1664" t="s">
        <v>2</v>
      </c>
      <c r="D337" s="1665"/>
      <c r="E337" s="1665"/>
      <c r="F337" s="1666"/>
      <c r="G337" s="85" t="s">
        <v>27</v>
      </c>
      <c r="H337" s="1664" t="s">
        <v>3</v>
      </c>
      <c r="I337" s="1665"/>
      <c r="J337" s="1666"/>
      <c r="K337" s="88" t="s">
        <v>27</v>
      </c>
      <c r="L337" s="1608" t="s">
        <v>4</v>
      </c>
      <c r="M337" s="1608"/>
      <c r="N337" s="1608"/>
      <c r="O337" s="84" t="s">
        <v>27</v>
      </c>
      <c r="P337" s="1608" t="s">
        <v>23</v>
      </c>
      <c r="Q337" s="1608"/>
      <c r="R337" s="1608"/>
      <c r="S337" s="1608"/>
      <c r="T337" s="1579" t="s">
        <v>362</v>
      </c>
      <c r="U337" s="1580"/>
      <c r="V337" s="1580"/>
      <c r="W337" s="1580"/>
      <c r="X337" s="41"/>
      <c r="Y337" s="41"/>
      <c r="Z337" s="582"/>
      <c r="AB337" s="1571" t="s">
        <v>229</v>
      </c>
      <c r="AC337" s="1572"/>
      <c r="AD337" s="550"/>
      <c r="AE337" s="550"/>
    </row>
    <row r="338" spans="1:31" ht="54">
      <c r="A338" s="111" t="s">
        <v>1</v>
      </c>
      <c r="B338" s="1671"/>
      <c r="C338" s="81" t="s">
        <v>5</v>
      </c>
      <c r="D338" s="81" t="s">
        <v>6</v>
      </c>
      <c r="E338" s="81" t="s">
        <v>65</v>
      </c>
      <c r="F338" s="81" t="s">
        <v>226</v>
      </c>
      <c r="G338" s="86" t="s">
        <v>225</v>
      </c>
      <c r="H338" s="87" t="s">
        <v>5</v>
      </c>
      <c r="I338" s="87" t="s">
        <v>6</v>
      </c>
      <c r="J338" s="243" t="s">
        <v>227</v>
      </c>
      <c r="K338" s="115" t="s">
        <v>101</v>
      </c>
      <c r="L338" s="115" t="s">
        <v>5</v>
      </c>
      <c r="M338" s="115" t="s">
        <v>6</v>
      </c>
      <c r="N338" s="115" t="s">
        <v>224</v>
      </c>
      <c r="O338" s="116" t="s">
        <v>225</v>
      </c>
      <c r="P338" s="116" t="s">
        <v>5</v>
      </c>
      <c r="Q338" s="116" t="s">
        <v>64</v>
      </c>
      <c r="R338" s="116" t="s">
        <v>102</v>
      </c>
      <c r="S338" s="116" t="s">
        <v>224</v>
      </c>
      <c r="T338" s="244" t="s">
        <v>113</v>
      </c>
      <c r="U338" s="239" t="s">
        <v>69</v>
      </c>
      <c r="V338" s="239" t="s">
        <v>95</v>
      </c>
      <c r="W338" s="71" t="s">
        <v>100</v>
      </c>
      <c r="X338" s="585" t="s">
        <v>109</v>
      </c>
      <c r="Y338" s="585" t="s">
        <v>110</v>
      </c>
      <c r="Z338" s="582" t="s">
        <v>162</v>
      </c>
      <c r="AB338" s="619" t="s">
        <v>112</v>
      </c>
      <c r="AC338" s="276" t="s">
        <v>228</v>
      </c>
      <c r="AD338" s="772"/>
      <c r="AE338" s="773"/>
    </row>
    <row r="339" spans="1:31" ht="18.75">
      <c r="A339" s="73" t="s">
        <v>47</v>
      </c>
      <c r="B339" s="74">
        <f aca="true" t="shared" si="205" ref="B339:B365">F308</f>
        <v>119317.73999999993</v>
      </c>
      <c r="C339" s="768">
        <v>13336.39</v>
      </c>
      <c r="D339" s="314">
        <v>15540.19</v>
      </c>
      <c r="E339" s="74"/>
      <c r="F339" s="74">
        <f aca="true" t="shared" si="206" ref="F339:F365">B339+C339-D339</f>
        <v>117113.93999999994</v>
      </c>
      <c r="G339" s="297">
        <f aca="true" t="shared" si="207" ref="G339:G365">J308</f>
        <v>32110.579999999976</v>
      </c>
      <c r="H339" s="1143">
        <v>1334.01</v>
      </c>
      <c r="I339" s="305"/>
      <c r="J339" s="306">
        <f>G339+H339-I339</f>
        <v>33444.589999999975</v>
      </c>
      <c r="K339" s="298">
        <f aca="true" t="shared" si="208" ref="K339:K365">N308</f>
        <v>-1093.3899999999994</v>
      </c>
      <c r="L339" s="625">
        <v>4271.8</v>
      </c>
      <c r="M339" s="1148">
        <v>8543.6</v>
      </c>
      <c r="N339" s="302">
        <f>K339+L339-M339</f>
        <v>-5365.19</v>
      </c>
      <c r="O339" s="299">
        <f aca="true" t="shared" si="209" ref="O339:O365">S308</f>
        <v>-1480.0400000000004</v>
      </c>
      <c r="P339" s="303">
        <v>119.74</v>
      </c>
      <c r="Q339" s="303"/>
      <c r="R339" s="303">
        <f>94.97+77.67</f>
        <v>172.64</v>
      </c>
      <c r="S339" s="291">
        <f aca="true" t="shared" si="210" ref="S339:S365">O339+P339-R339</f>
        <v>-1532.9400000000005</v>
      </c>
      <c r="T339" s="296">
        <f>R339</f>
        <v>172.64</v>
      </c>
      <c r="U339" s="296">
        <f>M339</f>
        <v>8543.6</v>
      </c>
      <c r="V339" s="307">
        <f>I339</f>
        <v>0</v>
      </c>
      <c r="W339" s="804">
        <f>T339+U339+V339</f>
        <v>8716.24</v>
      </c>
      <c r="X339" s="295">
        <f>C339+H339+L339+P339</f>
        <v>19061.940000000002</v>
      </c>
      <c r="Y339" s="292">
        <f>D339+I339+M339+R339</f>
        <v>24256.43</v>
      </c>
      <c r="Z339" s="584">
        <f>D339+R339</f>
        <v>15712.83</v>
      </c>
      <c r="AB339" s="8">
        <f aca="true" t="shared" si="211" ref="AB339:AB365">AC275+X308+X339</f>
        <v>57106.41</v>
      </c>
      <c r="AC339" s="8">
        <f aca="true" t="shared" si="212" ref="AC339:AC365">AE275+Z308+Z339+AB275</f>
        <v>50816.49</v>
      </c>
      <c r="AD339" s="774"/>
      <c r="AE339" s="774"/>
    </row>
    <row r="340" spans="1:31" ht="18.75">
      <c r="A340" s="73" t="s">
        <v>53</v>
      </c>
      <c r="B340" s="74">
        <f t="shared" si="205"/>
        <v>117384.4600000002</v>
      </c>
      <c r="C340" s="768">
        <v>29769.7</v>
      </c>
      <c r="D340" s="314">
        <v>26900.26</v>
      </c>
      <c r="E340" s="74"/>
      <c r="F340" s="74">
        <f t="shared" si="206"/>
        <v>120253.90000000021</v>
      </c>
      <c r="G340" s="297">
        <f t="shared" si="207"/>
        <v>2940.5400000000004</v>
      </c>
      <c r="H340" s="1143">
        <v>258.4</v>
      </c>
      <c r="I340" s="305"/>
      <c r="J340" s="306">
        <f aca="true" t="shared" si="213" ref="J340:J365">G340+H340-I340</f>
        <v>3198.9400000000005</v>
      </c>
      <c r="K340" s="298">
        <f t="shared" si="208"/>
        <v>-3502.6199999999976</v>
      </c>
      <c r="L340" s="625">
        <v>120.78</v>
      </c>
      <c r="M340" s="1148">
        <v>120.78</v>
      </c>
      <c r="N340" s="302">
        <f aca="true" t="shared" si="214" ref="N340:N365">K340+L340-M340</f>
        <v>-3502.6199999999976</v>
      </c>
      <c r="O340" s="299">
        <f t="shared" si="209"/>
        <v>-705.2700000000003</v>
      </c>
      <c r="P340" s="303">
        <v>90.39</v>
      </c>
      <c r="Q340" s="303"/>
      <c r="R340" s="303">
        <v>189.14</v>
      </c>
      <c r="S340" s="291">
        <f t="shared" si="210"/>
        <v>-804.0200000000003</v>
      </c>
      <c r="T340" s="296">
        <f aca="true" t="shared" si="215" ref="T340:T364">R340</f>
        <v>189.14</v>
      </c>
      <c r="U340" s="296">
        <f aca="true" t="shared" si="216" ref="U340:U365">M340</f>
        <v>120.78</v>
      </c>
      <c r="V340" s="307">
        <f aca="true" t="shared" si="217" ref="V340:V365">I340</f>
        <v>0</v>
      </c>
      <c r="W340" s="805">
        <f aca="true" t="shared" si="218" ref="W340:W366">T340+U340+V340</f>
        <v>309.91999999999996</v>
      </c>
      <c r="X340" s="295">
        <f aca="true" t="shared" si="219" ref="X340:X365">C340+H340+L340+P340</f>
        <v>30239.27</v>
      </c>
      <c r="Y340" s="292">
        <f aca="true" t="shared" si="220" ref="Y340:Y363">D340+I340+M340+R340</f>
        <v>27210.179999999997</v>
      </c>
      <c r="Z340" s="584">
        <f aca="true" t="shared" si="221" ref="Z340:Z365">D340+R340</f>
        <v>27089.399999999998</v>
      </c>
      <c r="AB340" s="8">
        <f t="shared" si="211"/>
        <v>90804.98</v>
      </c>
      <c r="AC340" s="8">
        <f t="shared" si="212"/>
        <v>88665.37</v>
      </c>
      <c r="AD340" s="775"/>
      <c r="AE340" s="774"/>
    </row>
    <row r="341" spans="1:31" ht="18.75">
      <c r="A341" s="73" t="s">
        <v>8</v>
      </c>
      <c r="B341" s="74">
        <f t="shared" si="205"/>
        <v>74445.62</v>
      </c>
      <c r="C341" s="768"/>
      <c r="D341" s="314"/>
      <c r="E341" s="74"/>
      <c r="F341" s="74">
        <f t="shared" si="206"/>
        <v>74445.62</v>
      </c>
      <c r="G341" s="297">
        <f t="shared" si="207"/>
        <v>0</v>
      </c>
      <c r="H341" s="1119"/>
      <c r="I341" s="305"/>
      <c r="J341" s="306">
        <f t="shared" si="213"/>
        <v>0</v>
      </c>
      <c r="K341" s="298">
        <f t="shared" si="208"/>
        <v>0</v>
      </c>
      <c r="L341" s="1040"/>
      <c r="M341" s="652"/>
      <c r="N341" s="302">
        <f t="shared" si="214"/>
        <v>0</v>
      </c>
      <c r="O341" s="299">
        <f t="shared" si="209"/>
        <v>0</v>
      </c>
      <c r="P341" s="304"/>
      <c r="Q341" s="304"/>
      <c r="R341" s="304"/>
      <c r="S341" s="291">
        <f t="shared" si="210"/>
        <v>0</v>
      </c>
      <c r="T341" s="296">
        <f t="shared" si="215"/>
        <v>0</v>
      </c>
      <c r="U341" s="296">
        <f t="shared" si="216"/>
        <v>0</v>
      </c>
      <c r="V341" s="307">
        <f t="shared" si="217"/>
        <v>0</v>
      </c>
      <c r="W341" s="805">
        <f t="shared" si="218"/>
        <v>0</v>
      </c>
      <c r="X341" s="295">
        <f t="shared" si="219"/>
        <v>0</v>
      </c>
      <c r="Y341" s="292">
        <f t="shared" si="220"/>
        <v>0</v>
      </c>
      <c r="Z341" s="584">
        <f t="shared" si="221"/>
        <v>0</v>
      </c>
      <c r="AB341" s="8">
        <f t="shared" si="211"/>
        <v>0</v>
      </c>
      <c r="AC341" s="8">
        <f t="shared" si="212"/>
        <v>0</v>
      </c>
      <c r="AD341" s="775"/>
      <c r="AE341" s="774"/>
    </row>
    <row r="342" spans="1:31" ht="18.75">
      <c r="A342" s="73" t="s">
        <v>48</v>
      </c>
      <c r="B342" s="74">
        <f t="shared" si="205"/>
        <v>370161.89000000013</v>
      </c>
      <c r="C342" s="768">
        <v>72292</v>
      </c>
      <c r="D342" s="314">
        <v>65719.72</v>
      </c>
      <c r="E342" s="74"/>
      <c r="F342" s="74">
        <f t="shared" si="206"/>
        <v>376734.17000000016</v>
      </c>
      <c r="G342" s="297">
        <f t="shared" si="207"/>
        <v>37177.38</v>
      </c>
      <c r="H342" s="1142">
        <v>1241.79</v>
      </c>
      <c r="I342" s="305"/>
      <c r="J342" s="306">
        <f t="shared" si="213"/>
        <v>38419.17</v>
      </c>
      <c r="K342" s="298">
        <f t="shared" si="208"/>
        <v>-611.6899999999981</v>
      </c>
      <c r="L342" s="625">
        <f>1653.07+242.74</f>
        <v>1895.81</v>
      </c>
      <c r="M342" s="653">
        <v>5175.98</v>
      </c>
      <c r="N342" s="302">
        <f t="shared" si="214"/>
        <v>-3891.859999999998</v>
      </c>
      <c r="O342" s="299">
        <f t="shared" si="209"/>
        <v>-2135.6399999999985</v>
      </c>
      <c r="P342" s="304">
        <v>175.94</v>
      </c>
      <c r="Q342" s="304"/>
      <c r="R342" s="304">
        <v>1291.31</v>
      </c>
      <c r="S342" s="291">
        <f t="shared" si="210"/>
        <v>-3251.0099999999984</v>
      </c>
      <c r="T342" s="296">
        <f t="shared" si="215"/>
        <v>1291.31</v>
      </c>
      <c r="U342" s="296">
        <f t="shared" si="216"/>
        <v>5175.98</v>
      </c>
      <c r="V342" s="307">
        <f t="shared" si="217"/>
        <v>0</v>
      </c>
      <c r="W342" s="805">
        <f t="shared" si="218"/>
        <v>6467.289999999999</v>
      </c>
      <c r="X342" s="295">
        <f t="shared" si="219"/>
        <v>75605.54</v>
      </c>
      <c r="Y342" s="292">
        <f t="shared" si="220"/>
        <v>72187.01</v>
      </c>
      <c r="Z342" s="584">
        <f t="shared" si="221"/>
        <v>67011.03</v>
      </c>
      <c r="AB342" s="8">
        <f t="shared" si="211"/>
        <v>227110.37999999995</v>
      </c>
      <c r="AC342" s="8">
        <f t="shared" si="212"/>
        <v>215450.27</v>
      </c>
      <c r="AD342" s="775"/>
      <c r="AE342" s="774"/>
    </row>
    <row r="343" spans="1:31" ht="18.75">
      <c r="A343" s="73" t="s">
        <v>9</v>
      </c>
      <c r="B343" s="74">
        <f t="shared" si="205"/>
        <v>124967.8900000001</v>
      </c>
      <c r="C343" s="768">
        <v>18048.09</v>
      </c>
      <c r="D343" s="314">
        <v>20676.81</v>
      </c>
      <c r="E343" s="74"/>
      <c r="F343" s="74">
        <f t="shared" si="206"/>
        <v>122339.1700000001</v>
      </c>
      <c r="G343" s="297">
        <f t="shared" si="207"/>
        <v>45222.25</v>
      </c>
      <c r="H343" s="1142">
        <f>1337.19+99.64</f>
        <v>1436.8300000000002</v>
      </c>
      <c r="I343" s="305"/>
      <c r="J343" s="306">
        <f t="shared" si="213"/>
        <v>46659.08</v>
      </c>
      <c r="K343" s="298">
        <f t="shared" si="208"/>
        <v>0</v>
      </c>
      <c r="L343" s="1040"/>
      <c r="M343" s="652"/>
      <c r="N343" s="302">
        <f t="shared" si="214"/>
        <v>0</v>
      </c>
      <c r="O343" s="299">
        <f t="shared" si="209"/>
        <v>361.82</v>
      </c>
      <c r="P343" s="304">
        <v>246.1</v>
      </c>
      <c r="Q343" s="304"/>
      <c r="R343" s="304">
        <v>1325.05</v>
      </c>
      <c r="S343" s="291">
        <f t="shared" si="210"/>
        <v>-717.13</v>
      </c>
      <c r="T343" s="296">
        <f t="shared" si="215"/>
        <v>1325.05</v>
      </c>
      <c r="U343" s="814">
        <f t="shared" si="216"/>
        <v>0</v>
      </c>
      <c r="V343" s="307">
        <f t="shared" si="217"/>
        <v>0</v>
      </c>
      <c r="W343" s="805">
        <f t="shared" si="218"/>
        <v>1325.05</v>
      </c>
      <c r="X343" s="295">
        <f t="shared" si="219"/>
        <v>19731.02</v>
      </c>
      <c r="Y343" s="292">
        <f t="shared" si="220"/>
        <v>22001.86</v>
      </c>
      <c r="Z343" s="584">
        <f t="shared" si="221"/>
        <v>22001.86</v>
      </c>
      <c r="AB343" s="8">
        <f t="shared" si="211"/>
        <v>58707.020000000004</v>
      </c>
      <c r="AC343" s="8">
        <f t="shared" si="212"/>
        <v>54505.8</v>
      </c>
      <c r="AD343" s="775"/>
      <c r="AE343" s="774"/>
    </row>
    <row r="344" spans="1:31" ht="18.75">
      <c r="A344" s="73" t="s">
        <v>10</v>
      </c>
      <c r="B344" s="74">
        <f t="shared" si="205"/>
        <v>7598.510000000089</v>
      </c>
      <c r="C344" s="768">
        <v>7795.77</v>
      </c>
      <c r="D344" s="314">
        <v>8113.36</v>
      </c>
      <c r="E344" s="74"/>
      <c r="F344" s="74">
        <f t="shared" si="206"/>
        <v>7280.92000000009</v>
      </c>
      <c r="G344" s="297">
        <f t="shared" si="207"/>
        <v>0</v>
      </c>
      <c r="H344" s="1119"/>
      <c r="I344" s="305"/>
      <c r="J344" s="306">
        <f t="shared" si="213"/>
        <v>0</v>
      </c>
      <c r="K344" s="298">
        <f t="shared" si="208"/>
        <v>0</v>
      </c>
      <c r="L344" s="1040"/>
      <c r="M344" s="652"/>
      <c r="N344" s="302">
        <f t="shared" si="214"/>
        <v>0</v>
      </c>
      <c r="O344" s="299">
        <f t="shared" si="209"/>
        <v>14.829999999999977</v>
      </c>
      <c r="P344" s="304">
        <v>0.55</v>
      </c>
      <c r="Q344" s="304"/>
      <c r="R344" s="304">
        <v>0</v>
      </c>
      <c r="S344" s="291">
        <f t="shared" si="210"/>
        <v>15.379999999999978</v>
      </c>
      <c r="T344" s="296">
        <f t="shared" si="215"/>
        <v>0</v>
      </c>
      <c r="U344" s="296">
        <f t="shared" si="216"/>
        <v>0</v>
      </c>
      <c r="V344" s="307">
        <f t="shared" si="217"/>
        <v>0</v>
      </c>
      <c r="W344" s="805">
        <f t="shared" si="218"/>
        <v>0</v>
      </c>
      <c r="X344" s="295">
        <f t="shared" si="219"/>
        <v>7796.320000000001</v>
      </c>
      <c r="Y344" s="292">
        <f t="shared" si="220"/>
        <v>8113.36</v>
      </c>
      <c r="Z344" s="584">
        <f t="shared" si="221"/>
        <v>8113.36</v>
      </c>
      <c r="AB344" s="8">
        <f t="shared" si="211"/>
        <v>23396.620000000003</v>
      </c>
      <c r="AC344" s="8">
        <f t="shared" si="212"/>
        <v>23412.07</v>
      </c>
      <c r="AD344" s="775"/>
      <c r="AE344" s="774"/>
    </row>
    <row r="345" spans="1:31" ht="18.75">
      <c r="A345" s="73" t="s">
        <v>11</v>
      </c>
      <c r="B345" s="74">
        <f t="shared" si="205"/>
        <v>9618.880000000037</v>
      </c>
      <c r="C345" s="768">
        <v>7768.21</v>
      </c>
      <c r="D345" s="314">
        <v>8643.84</v>
      </c>
      <c r="E345" s="74"/>
      <c r="F345" s="74">
        <f t="shared" si="206"/>
        <v>8743.250000000036</v>
      </c>
      <c r="G345" s="297">
        <f t="shared" si="207"/>
        <v>0</v>
      </c>
      <c r="H345" s="1119"/>
      <c r="I345" s="305"/>
      <c r="J345" s="306">
        <f t="shared" si="213"/>
        <v>0</v>
      </c>
      <c r="K345" s="298">
        <f t="shared" si="208"/>
        <v>0</v>
      </c>
      <c r="L345" s="1040"/>
      <c r="M345" s="652"/>
      <c r="N345" s="302">
        <f t="shared" si="214"/>
        <v>0</v>
      </c>
      <c r="O345" s="299">
        <f t="shared" si="209"/>
        <v>42.06</v>
      </c>
      <c r="P345" s="304">
        <v>2.93</v>
      </c>
      <c r="Q345" s="304"/>
      <c r="R345" s="304">
        <v>17.74</v>
      </c>
      <c r="S345" s="291">
        <f t="shared" si="210"/>
        <v>27.250000000000004</v>
      </c>
      <c r="T345" s="296">
        <f t="shared" si="215"/>
        <v>17.74</v>
      </c>
      <c r="U345" s="296">
        <f t="shared" si="216"/>
        <v>0</v>
      </c>
      <c r="V345" s="307">
        <f t="shared" si="217"/>
        <v>0</v>
      </c>
      <c r="W345" s="805">
        <f t="shared" si="218"/>
        <v>17.74</v>
      </c>
      <c r="X345" s="295">
        <f t="shared" si="219"/>
        <v>7771.14</v>
      </c>
      <c r="Y345" s="292">
        <f t="shared" si="220"/>
        <v>8661.58</v>
      </c>
      <c r="Z345" s="584">
        <f t="shared" si="221"/>
        <v>8661.58</v>
      </c>
      <c r="AB345" s="8">
        <f t="shared" si="211"/>
        <v>23309.93</v>
      </c>
      <c r="AC345" s="8">
        <f t="shared" si="212"/>
        <v>22300.879999999997</v>
      </c>
      <c r="AD345" s="775"/>
      <c r="AE345" s="774"/>
    </row>
    <row r="346" spans="1:31" ht="18.75">
      <c r="A346" s="73" t="s">
        <v>12</v>
      </c>
      <c r="B346" s="74">
        <f t="shared" si="205"/>
        <v>84864.79000000023</v>
      </c>
      <c r="C346" s="768">
        <v>44479.76</v>
      </c>
      <c r="D346" s="314">
        <v>48450.13</v>
      </c>
      <c r="E346" s="74"/>
      <c r="F346" s="74">
        <f t="shared" si="206"/>
        <v>80894.42000000022</v>
      </c>
      <c r="G346" s="297">
        <f t="shared" si="207"/>
        <v>12414.72</v>
      </c>
      <c r="H346" s="1142">
        <v>517.28</v>
      </c>
      <c r="I346" s="305"/>
      <c r="J346" s="306">
        <f t="shared" si="213"/>
        <v>12932</v>
      </c>
      <c r="K346" s="298">
        <f t="shared" si="208"/>
        <v>1508.3999999999987</v>
      </c>
      <c r="L346" s="625">
        <v>1526.4</v>
      </c>
      <c r="M346" s="653">
        <v>1526.4</v>
      </c>
      <c r="N346" s="302">
        <f t="shared" si="214"/>
        <v>1508.3999999999987</v>
      </c>
      <c r="O346" s="299">
        <f t="shared" si="209"/>
        <v>402.4299999999999</v>
      </c>
      <c r="P346" s="304">
        <v>318.12</v>
      </c>
      <c r="Q346" s="304"/>
      <c r="R346" s="304">
        <v>332.41</v>
      </c>
      <c r="S346" s="291">
        <f t="shared" si="210"/>
        <v>388.13999999999993</v>
      </c>
      <c r="T346" s="296">
        <f t="shared" si="215"/>
        <v>332.41</v>
      </c>
      <c r="U346" s="296">
        <f t="shared" si="216"/>
        <v>1526.4</v>
      </c>
      <c r="V346" s="307">
        <f t="shared" si="217"/>
        <v>0</v>
      </c>
      <c r="W346" s="805">
        <f t="shared" si="218"/>
        <v>1858.8100000000002</v>
      </c>
      <c r="X346" s="295">
        <f t="shared" si="219"/>
        <v>46841.560000000005</v>
      </c>
      <c r="Y346" s="292">
        <f t="shared" si="220"/>
        <v>50308.94</v>
      </c>
      <c r="Z346" s="584">
        <f t="shared" si="221"/>
        <v>48782.54</v>
      </c>
      <c r="AB346" s="8">
        <f t="shared" si="211"/>
        <v>140050.42</v>
      </c>
      <c r="AC346" s="8">
        <f t="shared" si="212"/>
        <v>146212.66000000003</v>
      </c>
      <c r="AD346" s="775"/>
      <c r="AE346" s="774"/>
    </row>
    <row r="347" spans="1:31" ht="18.75">
      <c r="A347" s="73" t="s">
        <v>13</v>
      </c>
      <c r="B347" s="74">
        <f t="shared" si="205"/>
        <v>57688.600000000035</v>
      </c>
      <c r="C347" s="768">
        <v>26273.16</v>
      </c>
      <c r="D347" s="314">
        <v>27706.92</v>
      </c>
      <c r="E347" s="74"/>
      <c r="F347" s="74">
        <f t="shared" si="206"/>
        <v>56254.84000000004</v>
      </c>
      <c r="G347" s="297">
        <f t="shared" si="207"/>
        <v>4359.249999999998</v>
      </c>
      <c r="H347" s="1142">
        <v>174.37</v>
      </c>
      <c r="I347" s="305"/>
      <c r="J347" s="306">
        <f t="shared" si="213"/>
        <v>4533.619999999998</v>
      </c>
      <c r="K347" s="298">
        <f t="shared" si="208"/>
        <v>-1645.01</v>
      </c>
      <c r="L347" s="625">
        <v>645.01</v>
      </c>
      <c r="M347" s="653">
        <v>0</v>
      </c>
      <c r="N347" s="302">
        <f t="shared" si="214"/>
        <v>-1000</v>
      </c>
      <c r="O347" s="299">
        <f t="shared" si="209"/>
        <v>327.57000000000016</v>
      </c>
      <c r="P347" s="304">
        <v>81.18</v>
      </c>
      <c r="Q347" s="304"/>
      <c r="R347" s="304">
        <f>147.13-6.82</f>
        <v>140.31</v>
      </c>
      <c r="S347" s="291">
        <f t="shared" si="210"/>
        <v>268.44000000000017</v>
      </c>
      <c r="T347" s="296">
        <f t="shared" si="215"/>
        <v>140.31</v>
      </c>
      <c r="U347" s="296">
        <f t="shared" si="216"/>
        <v>0</v>
      </c>
      <c r="V347" s="307">
        <f t="shared" si="217"/>
        <v>0</v>
      </c>
      <c r="W347" s="805">
        <f t="shared" si="218"/>
        <v>140.31</v>
      </c>
      <c r="X347" s="295">
        <f t="shared" si="219"/>
        <v>27173.719999999998</v>
      </c>
      <c r="Y347" s="292">
        <f t="shared" si="220"/>
        <v>27847.23</v>
      </c>
      <c r="Z347" s="584">
        <f t="shared" si="221"/>
        <v>27847.23</v>
      </c>
      <c r="AB347" s="8">
        <f t="shared" si="211"/>
        <v>81646.10999999999</v>
      </c>
      <c r="AC347" s="8">
        <f t="shared" si="212"/>
        <v>81975.78</v>
      </c>
      <c r="AD347" s="775"/>
      <c r="AE347" s="774"/>
    </row>
    <row r="348" spans="1:31" ht="18.75">
      <c r="A348" s="73" t="s">
        <v>14</v>
      </c>
      <c r="B348" s="74">
        <f t="shared" si="205"/>
        <v>57720.21000000007</v>
      </c>
      <c r="C348" s="768">
        <v>32415.33</v>
      </c>
      <c r="D348" s="314">
        <v>31425.9</v>
      </c>
      <c r="E348" s="74"/>
      <c r="F348" s="74">
        <f t="shared" si="206"/>
        <v>58709.640000000065</v>
      </c>
      <c r="G348" s="297">
        <f t="shared" si="207"/>
        <v>5420.839999999997</v>
      </c>
      <c r="H348" s="1119"/>
      <c r="I348" s="305"/>
      <c r="J348" s="306">
        <f t="shared" si="213"/>
        <v>5420.839999999997</v>
      </c>
      <c r="K348" s="298">
        <f t="shared" si="208"/>
        <v>5151.429999999998</v>
      </c>
      <c r="L348" s="625">
        <f>2593.29</f>
        <v>2593.29</v>
      </c>
      <c r="M348" s="653">
        <v>2300.73</v>
      </c>
      <c r="N348" s="302">
        <f t="shared" si="214"/>
        <v>5443.989999999998</v>
      </c>
      <c r="O348" s="299">
        <f t="shared" si="209"/>
        <v>-265.69</v>
      </c>
      <c r="P348" s="304">
        <v>34.92</v>
      </c>
      <c r="Q348" s="304"/>
      <c r="R348" s="304">
        <v>0</v>
      </c>
      <c r="S348" s="291">
        <f t="shared" si="210"/>
        <v>-230.76999999999998</v>
      </c>
      <c r="T348" s="296">
        <f t="shared" si="215"/>
        <v>0</v>
      </c>
      <c r="U348" s="296">
        <f t="shared" si="216"/>
        <v>2300.73</v>
      </c>
      <c r="V348" s="307">
        <f t="shared" si="217"/>
        <v>0</v>
      </c>
      <c r="W348" s="805">
        <f t="shared" si="218"/>
        <v>2300.73</v>
      </c>
      <c r="X348" s="295">
        <f t="shared" si="219"/>
        <v>35043.54</v>
      </c>
      <c r="Y348" s="292">
        <f t="shared" si="220"/>
        <v>33726.630000000005</v>
      </c>
      <c r="Z348" s="584">
        <f t="shared" si="221"/>
        <v>31425.9</v>
      </c>
      <c r="AB348" s="8">
        <f t="shared" si="211"/>
        <v>105141.95000000001</v>
      </c>
      <c r="AC348" s="8">
        <f t="shared" si="212"/>
        <v>100495.89000000001</v>
      </c>
      <c r="AD348" s="775"/>
      <c r="AE348" s="774"/>
    </row>
    <row r="349" spans="1:31" ht="18.75">
      <c r="A349" s="73" t="s">
        <v>55</v>
      </c>
      <c r="B349" s="74">
        <f t="shared" si="205"/>
        <v>50581.32000000001</v>
      </c>
      <c r="C349" s="768">
        <v>14758.92</v>
      </c>
      <c r="D349" s="314">
        <v>12102.65</v>
      </c>
      <c r="E349" s="74"/>
      <c r="F349" s="74">
        <f t="shared" si="206"/>
        <v>53237.590000000004</v>
      </c>
      <c r="G349" s="297">
        <f t="shared" si="207"/>
        <v>4452</v>
      </c>
      <c r="H349" s="1142">
        <v>185.5</v>
      </c>
      <c r="I349" s="305"/>
      <c r="J349" s="306">
        <f t="shared" si="213"/>
        <v>4637.5</v>
      </c>
      <c r="K349" s="298">
        <f t="shared" si="208"/>
        <v>2606.660000000003</v>
      </c>
      <c r="L349" s="625">
        <v>372.59</v>
      </c>
      <c r="M349" s="652">
        <v>1490.36</v>
      </c>
      <c r="N349" s="302">
        <f t="shared" si="214"/>
        <v>1488.8900000000033</v>
      </c>
      <c r="O349" s="299">
        <f t="shared" si="209"/>
        <v>-44.16999999999999</v>
      </c>
      <c r="P349" s="304">
        <v>0.08</v>
      </c>
      <c r="Q349" s="304"/>
      <c r="R349" s="304">
        <v>0</v>
      </c>
      <c r="S349" s="291">
        <f t="shared" si="210"/>
        <v>-44.08999999999999</v>
      </c>
      <c r="T349" s="296">
        <f t="shared" si="215"/>
        <v>0</v>
      </c>
      <c r="U349" s="296">
        <f t="shared" si="216"/>
        <v>1490.36</v>
      </c>
      <c r="V349" s="307">
        <f t="shared" si="217"/>
        <v>0</v>
      </c>
      <c r="W349" s="805">
        <f t="shared" si="218"/>
        <v>1490.36</v>
      </c>
      <c r="X349" s="295">
        <f t="shared" si="219"/>
        <v>15317.09</v>
      </c>
      <c r="Y349" s="292">
        <f t="shared" si="220"/>
        <v>13593.01</v>
      </c>
      <c r="Z349" s="584">
        <f t="shared" si="221"/>
        <v>12102.65</v>
      </c>
      <c r="AB349" s="8">
        <f t="shared" si="211"/>
        <v>46073.45</v>
      </c>
      <c r="AC349" s="8">
        <f t="shared" si="212"/>
        <v>40490.93</v>
      </c>
      <c r="AD349" s="775"/>
      <c r="AE349" s="774"/>
    </row>
    <row r="350" spans="1:31" ht="18.75">
      <c r="A350" s="73" t="s">
        <v>15</v>
      </c>
      <c r="B350" s="74">
        <f t="shared" si="205"/>
        <v>110095.05000000032</v>
      </c>
      <c r="C350" s="768">
        <v>34705.99</v>
      </c>
      <c r="D350" s="314">
        <v>29562.46</v>
      </c>
      <c r="E350" s="74"/>
      <c r="F350" s="74">
        <f t="shared" si="206"/>
        <v>115238.58000000034</v>
      </c>
      <c r="G350" s="297">
        <f t="shared" si="207"/>
        <v>0</v>
      </c>
      <c r="H350" s="1119"/>
      <c r="I350" s="305"/>
      <c r="J350" s="306">
        <f t="shared" si="213"/>
        <v>0</v>
      </c>
      <c r="K350" s="298">
        <f t="shared" si="208"/>
        <v>-539.5400000000004</v>
      </c>
      <c r="L350" s="625">
        <v>1957.82</v>
      </c>
      <c r="M350" s="652">
        <v>0</v>
      </c>
      <c r="N350" s="302">
        <f t="shared" si="214"/>
        <v>1418.2799999999995</v>
      </c>
      <c r="O350" s="299">
        <f t="shared" si="209"/>
        <v>614.1999999999996</v>
      </c>
      <c r="P350" s="304">
        <v>37</v>
      </c>
      <c r="Q350" s="304"/>
      <c r="R350" s="304">
        <v>67.14</v>
      </c>
      <c r="S350" s="291">
        <f t="shared" si="210"/>
        <v>584.0599999999996</v>
      </c>
      <c r="T350" s="296">
        <f t="shared" si="215"/>
        <v>67.14</v>
      </c>
      <c r="U350" s="296">
        <f t="shared" si="216"/>
        <v>0</v>
      </c>
      <c r="V350" s="307">
        <f t="shared" si="217"/>
        <v>0</v>
      </c>
      <c r="W350" s="805">
        <f t="shared" si="218"/>
        <v>67.14</v>
      </c>
      <c r="X350" s="295">
        <f t="shared" si="219"/>
        <v>36700.81</v>
      </c>
      <c r="Y350" s="292">
        <f t="shared" si="220"/>
        <v>29629.6</v>
      </c>
      <c r="Z350" s="584">
        <f t="shared" si="221"/>
        <v>29629.6</v>
      </c>
      <c r="AB350" s="8">
        <f t="shared" si="211"/>
        <v>110247.62999999999</v>
      </c>
      <c r="AC350" s="8">
        <f t="shared" si="212"/>
        <v>101069.35</v>
      </c>
      <c r="AD350" s="775"/>
      <c r="AE350" s="774"/>
    </row>
    <row r="351" spans="1:31" ht="18.75">
      <c r="A351" s="73" t="s">
        <v>16</v>
      </c>
      <c r="B351" s="74">
        <f t="shared" si="205"/>
        <v>29465.810000000074</v>
      </c>
      <c r="C351" s="768">
        <v>28244.23</v>
      </c>
      <c r="D351" s="314">
        <v>23957.14</v>
      </c>
      <c r="E351" s="74"/>
      <c r="F351" s="74">
        <f t="shared" si="206"/>
        <v>33752.900000000074</v>
      </c>
      <c r="G351" s="297">
        <f t="shared" si="207"/>
        <v>0</v>
      </c>
      <c r="H351" s="1119"/>
      <c r="I351" s="305"/>
      <c r="J351" s="306">
        <f t="shared" si="213"/>
        <v>0</v>
      </c>
      <c r="K351" s="298">
        <f t="shared" si="208"/>
        <v>2036.7900000000022</v>
      </c>
      <c r="L351" s="625">
        <v>290.97</v>
      </c>
      <c r="M351" s="653">
        <v>0</v>
      </c>
      <c r="N351" s="302">
        <f t="shared" si="214"/>
        <v>2327.760000000002</v>
      </c>
      <c r="O351" s="299">
        <f t="shared" si="209"/>
        <v>113.11999999999999</v>
      </c>
      <c r="P351" s="304">
        <v>15.63</v>
      </c>
      <c r="Q351" s="304"/>
      <c r="R351" s="304">
        <v>21.59</v>
      </c>
      <c r="S351" s="291">
        <f t="shared" si="210"/>
        <v>107.16</v>
      </c>
      <c r="T351" s="296">
        <f t="shared" si="215"/>
        <v>21.59</v>
      </c>
      <c r="U351" s="296">
        <f t="shared" si="216"/>
        <v>0</v>
      </c>
      <c r="V351" s="307">
        <f t="shared" si="217"/>
        <v>0</v>
      </c>
      <c r="W351" s="805">
        <f t="shared" si="218"/>
        <v>21.59</v>
      </c>
      <c r="X351" s="295">
        <f t="shared" si="219"/>
        <v>28550.83</v>
      </c>
      <c r="Y351" s="292">
        <f t="shared" si="220"/>
        <v>23978.73</v>
      </c>
      <c r="Z351" s="584">
        <f t="shared" si="221"/>
        <v>23978.73</v>
      </c>
      <c r="AB351" s="8">
        <f t="shared" si="211"/>
        <v>85729.29000000001</v>
      </c>
      <c r="AC351" s="8">
        <f t="shared" si="212"/>
        <v>84688.71</v>
      </c>
      <c r="AD351" s="775"/>
      <c r="AE351" s="774"/>
    </row>
    <row r="352" spans="1:31" ht="18.75">
      <c r="A352" s="73" t="s">
        <v>17</v>
      </c>
      <c r="B352" s="74">
        <f t="shared" si="205"/>
        <v>56353.08000000029</v>
      </c>
      <c r="C352" s="768">
        <v>36774.58</v>
      </c>
      <c r="D352" s="314">
        <v>33618.85</v>
      </c>
      <c r="E352" s="74"/>
      <c r="F352" s="74">
        <f t="shared" si="206"/>
        <v>59508.810000000296</v>
      </c>
      <c r="G352" s="297">
        <f t="shared" si="207"/>
        <v>8840.400000000003</v>
      </c>
      <c r="H352" s="1142">
        <v>368.35</v>
      </c>
      <c r="I352" s="305"/>
      <c r="J352" s="306">
        <f t="shared" si="213"/>
        <v>9208.750000000004</v>
      </c>
      <c r="K352" s="298">
        <f t="shared" si="208"/>
        <v>619.5699999999998</v>
      </c>
      <c r="L352" s="625">
        <v>619.57</v>
      </c>
      <c r="M352" s="653">
        <v>1239.14</v>
      </c>
      <c r="N352" s="302">
        <f t="shared" si="214"/>
        <v>0</v>
      </c>
      <c r="O352" s="299">
        <f t="shared" si="209"/>
        <v>130.10000000000005</v>
      </c>
      <c r="P352" s="304">
        <v>13.41</v>
      </c>
      <c r="Q352" s="304"/>
      <c r="R352" s="304">
        <v>0</v>
      </c>
      <c r="S352" s="291">
        <f t="shared" si="210"/>
        <v>143.51000000000005</v>
      </c>
      <c r="T352" s="296">
        <f t="shared" si="215"/>
        <v>0</v>
      </c>
      <c r="U352" s="814">
        <f t="shared" si="216"/>
        <v>1239.14</v>
      </c>
      <c r="V352" s="307">
        <f t="shared" si="217"/>
        <v>0</v>
      </c>
      <c r="W352" s="805">
        <f t="shared" si="218"/>
        <v>1239.14</v>
      </c>
      <c r="X352" s="295">
        <f t="shared" si="219"/>
        <v>37775.91</v>
      </c>
      <c r="Y352" s="292">
        <f t="shared" si="220"/>
        <v>34857.99</v>
      </c>
      <c r="Z352" s="584">
        <f t="shared" si="221"/>
        <v>33618.85</v>
      </c>
      <c r="AB352" s="8">
        <f t="shared" si="211"/>
        <v>113364.6</v>
      </c>
      <c r="AC352" s="8">
        <f t="shared" si="212"/>
        <v>108905.32</v>
      </c>
      <c r="AD352" s="775"/>
      <c r="AE352" s="774"/>
    </row>
    <row r="353" spans="1:31" ht="18.75">
      <c r="A353" s="73" t="s">
        <v>18</v>
      </c>
      <c r="B353" s="74">
        <f t="shared" si="205"/>
        <v>167800.7400000001</v>
      </c>
      <c r="C353" s="768">
        <v>78393.38</v>
      </c>
      <c r="D353" s="314">
        <v>74430.16</v>
      </c>
      <c r="E353" s="74"/>
      <c r="F353" s="74">
        <f t="shared" si="206"/>
        <v>171763.9600000001</v>
      </c>
      <c r="G353" s="297">
        <f t="shared" si="207"/>
        <v>840.0499999999986</v>
      </c>
      <c r="H353" s="1119"/>
      <c r="I353" s="305"/>
      <c r="J353" s="306">
        <f t="shared" si="213"/>
        <v>840.0499999999986</v>
      </c>
      <c r="K353" s="298">
        <f t="shared" si="208"/>
        <v>0</v>
      </c>
      <c r="L353" s="625">
        <v>2030.96</v>
      </c>
      <c r="M353" s="653">
        <v>2717.31</v>
      </c>
      <c r="N353" s="302">
        <f t="shared" si="214"/>
        <v>-686.3499999999999</v>
      </c>
      <c r="O353" s="299">
        <f t="shared" si="209"/>
        <v>239.27000000000015</v>
      </c>
      <c r="P353" s="304">
        <v>58.74</v>
      </c>
      <c r="Q353" s="304"/>
      <c r="R353" s="304">
        <v>13.6</v>
      </c>
      <c r="S353" s="291">
        <f t="shared" si="210"/>
        <v>284.41000000000014</v>
      </c>
      <c r="T353" s="296">
        <f t="shared" si="215"/>
        <v>13.6</v>
      </c>
      <c r="U353" s="296">
        <f t="shared" si="216"/>
        <v>2717.31</v>
      </c>
      <c r="V353" s="307">
        <f t="shared" si="217"/>
        <v>0</v>
      </c>
      <c r="W353" s="805">
        <f t="shared" si="218"/>
        <v>2730.91</v>
      </c>
      <c r="X353" s="295">
        <f t="shared" si="219"/>
        <v>80483.08000000002</v>
      </c>
      <c r="Y353" s="292">
        <f t="shared" si="220"/>
        <v>77161.07</v>
      </c>
      <c r="Z353" s="584">
        <f t="shared" si="221"/>
        <v>74443.76000000001</v>
      </c>
      <c r="AB353" s="8">
        <f t="shared" si="211"/>
        <v>241794.42000000004</v>
      </c>
      <c r="AC353" s="8">
        <f t="shared" si="212"/>
        <v>226040.77</v>
      </c>
      <c r="AD353" s="775"/>
      <c r="AE353" s="774"/>
    </row>
    <row r="354" spans="1:31" ht="18.75">
      <c r="A354" s="73" t="s">
        <v>54</v>
      </c>
      <c r="B354" s="74">
        <f t="shared" si="205"/>
        <v>57236.83000000035</v>
      </c>
      <c r="C354" s="768">
        <v>33617.9</v>
      </c>
      <c r="D354" s="314">
        <v>33114.75</v>
      </c>
      <c r="E354" s="74"/>
      <c r="F354" s="74">
        <f t="shared" si="206"/>
        <v>57739.98000000036</v>
      </c>
      <c r="G354" s="297">
        <f t="shared" si="207"/>
        <v>7185.620000000001</v>
      </c>
      <c r="H354" s="1142">
        <v>261.82</v>
      </c>
      <c r="I354" s="305"/>
      <c r="J354" s="306">
        <f t="shared" si="213"/>
        <v>7447.4400000000005</v>
      </c>
      <c r="K354" s="298">
        <f t="shared" si="208"/>
        <v>0</v>
      </c>
      <c r="L354" s="639"/>
      <c r="M354" s="652"/>
      <c r="N354" s="302">
        <f t="shared" si="214"/>
        <v>0</v>
      </c>
      <c r="O354" s="299">
        <f t="shared" si="209"/>
        <v>-1802.03</v>
      </c>
      <c r="P354" s="304">
        <v>135.92</v>
      </c>
      <c r="Q354" s="304"/>
      <c r="R354" s="304">
        <v>29.34</v>
      </c>
      <c r="S354" s="291">
        <f t="shared" si="210"/>
        <v>-1695.4499999999998</v>
      </c>
      <c r="T354" s="296">
        <f t="shared" si="215"/>
        <v>29.34</v>
      </c>
      <c r="U354" s="296">
        <f t="shared" si="216"/>
        <v>0</v>
      </c>
      <c r="V354" s="307">
        <f t="shared" si="217"/>
        <v>0</v>
      </c>
      <c r="W354" s="805">
        <f t="shared" si="218"/>
        <v>29.34</v>
      </c>
      <c r="X354" s="295">
        <f t="shared" si="219"/>
        <v>34015.64</v>
      </c>
      <c r="Y354" s="292">
        <f t="shared" si="220"/>
        <v>33144.09</v>
      </c>
      <c r="Z354" s="584">
        <f t="shared" si="221"/>
        <v>33144.09</v>
      </c>
      <c r="AB354" s="8">
        <f t="shared" si="211"/>
        <v>101832.52</v>
      </c>
      <c r="AC354" s="8">
        <f t="shared" si="212"/>
        <v>100892.48999999999</v>
      </c>
      <c r="AD354" s="775"/>
      <c r="AE354" s="774"/>
    </row>
    <row r="355" spans="1:31" ht="18.75">
      <c r="A355" s="73" t="s">
        <v>49</v>
      </c>
      <c r="B355" s="74">
        <f t="shared" si="205"/>
        <v>204755.43000000017</v>
      </c>
      <c r="C355" s="768">
        <v>71492.24</v>
      </c>
      <c r="D355" s="314">
        <v>72552.17</v>
      </c>
      <c r="E355" s="74"/>
      <c r="F355" s="74">
        <f t="shared" si="206"/>
        <v>203695.50000000017</v>
      </c>
      <c r="G355" s="297">
        <f t="shared" si="207"/>
        <v>19614.239999999998</v>
      </c>
      <c r="H355" s="1142">
        <v>817.26</v>
      </c>
      <c r="I355" s="305"/>
      <c r="J355" s="306">
        <f t="shared" si="213"/>
        <v>20431.499999999996</v>
      </c>
      <c r="K355" s="298">
        <f t="shared" si="208"/>
        <v>3326.9200000000046</v>
      </c>
      <c r="L355" s="625">
        <v>3396.24</v>
      </c>
      <c r="M355" s="653">
        <v>3023.65</v>
      </c>
      <c r="N355" s="302">
        <f t="shared" si="214"/>
        <v>3699.5100000000043</v>
      </c>
      <c r="O355" s="299">
        <f t="shared" si="209"/>
        <v>-895.4500000000003</v>
      </c>
      <c r="P355" s="304">
        <v>183.37</v>
      </c>
      <c r="Q355" s="304"/>
      <c r="R355" s="304">
        <v>20.73</v>
      </c>
      <c r="S355" s="291">
        <f t="shared" si="210"/>
        <v>-732.8100000000003</v>
      </c>
      <c r="T355" s="296">
        <f t="shared" si="215"/>
        <v>20.73</v>
      </c>
      <c r="U355" s="296">
        <f t="shared" si="216"/>
        <v>3023.65</v>
      </c>
      <c r="V355" s="307">
        <f t="shared" si="217"/>
        <v>0</v>
      </c>
      <c r="W355" s="805">
        <f t="shared" si="218"/>
        <v>3044.38</v>
      </c>
      <c r="X355" s="295">
        <f t="shared" si="219"/>
        <v>75889.11</v>
      </c>
      <c r="Y355" s="292">
        <f t="shared" si="220"/>
        <v>75596.54999999999</v>
      </c>
      <c r="Z355" s="584">
        <f t="shared" si="221"/>
        <v>72572.9</v>
      </c>
      <c r="AB355" s="8">
        <f t="shared" si="211"/>
        <v>227139.96999999997</v>
      </c>
      <c r="AC355" s="8">
        <f t="shared" si="212"/>
        <v>214572.72</v>
      </c>
      <c r="AD355" s="775"/>
      <c r="AE355" s="774"/>
    </row>
    <row r="356" spans="1:31" ht="18.75">
      <c r="A356" s="73" t="s">
        <v>19</v>
      </c>
      <c r="B356" s="74">
        <f t="shared" si="205"/>
        <v>91701.69999999997</v>
      </c>
      <c r="C356" s="768">
        <v>52752.49</v>
      </c>
      <c r="D356" s="314">
        <v>58540.38</v>
      </c>
      <c r="E356" s="74"/>
      <c r="F356" s="74">
        <f t="shared" si="206"/>
        <v>85913.80999999997</v>
      </c>
      <c r="G356" s="297">
        <f t="shared" si="207"/>
        <v>8966.129999999997</v>
      </c>
      <c r="H356" s="1142">
        <v>356.69</v>
      </c>
      <c r="I356" s="305"/>
      <c r="J356" s="306">
        <f t="shared" si="213"/>
        <v>9322.819999999998</v>
      </c>
      <c r="K356" s="298">
        <f t="shared" si="208"/>
        <v>1515.0900000000006</v>
      </c>
      <c r="L356" s="625">
        <v>669.39</v>
      </c>
      <c r="M356" s="653">
        <v>1111.41</v>
      </c>
      <c r="N356" s="302">
        <f t="shared" si="214"/>
        <v>1073.0700000000004</v>
      </c>
      <c r="O356" s="299">
        <f t="shared" si="209"/>
        <v>1349.5800000000006</v>
      </c>
      <c r="P356" s="304">
        <v>310.52</v>
      </c>
      <c r="Q356" s="304"/>
      <c r="R356" s="304">
        <v>226.7</v>
      </c>
      <c r="S356" s="291">
        <f t="shared" si="210"/>
        <v>1433.4000000000005</v>
      </c>
      <c r="T356" s="296">
        <f t="shared" si="215"/>
        <v>226.7</v>
      </c>
      <c r="U356" s="296">
        <f t="shared" si="216"/>
        <v>1111.41</v>
      </c>
      <c r="V356" s="307">
        <f t="shared" si="217"/>
        <v>0</v>
      </c>
      <c r="W356" s="805">
        <f t="shared" si="218"/>
        <v>1338.1100000000001</v>
      </c>
      <c r="X356" s="295">
        <f t="shared" si="219"/>
        <v>54089.09</v>
      </c>
      <c r="Y356" s="292">
        <f t="shared" si="220"/>
        <v>59878.49</v>
      </c>
      <c r="Z356" s="584">
        <f t="shared" si="221"/>
        <v>58767.079999999994</v>
      </c>
      <c r="AB356" s="8">
        <f t="shared" si="211"/>
        <v>162497.07</v>
      </c>
      <c r="AC356" s="8">
        <f t="shared" si="212"/>
        <v>160922.47</v>
      </c>
      <c r="AD356" s="775"/>
      <c r="AE356" s="774"/>
    </row>
    <row r="357" spans="1:31" ht="18.75">
      <c r="A357" s="73" t="s">
        <v>20</v>
      </c>
      <c r="B357" s="74">
        <f t="shared" si="205"/>
        <v>67017.33000000007</v>
      </c>
      <c r="C357" s="768">
        <v>34274.05</v>
      </c>
      <c r="D357" s="314">
        <v>32618.3</v>
      </c>
      <c r="E357" s="74"/>
      <c r="F357" s="74">
        <f t="shared" si="206"/>
        <v>68673.08000000007</v>
      </c>
      <c r="G357" s="297">
        <f t="shared" si="207"/>
        <v>0</v>
      </c>
      <c r="H357" s="1121"/>
      <c r="I357" s="305"/>
      <c r="J357" s="306">
        <f t="shared" si="213"/>
        <v>0</v>
      </c>
      <c r="K357" s="298">
        <f t="shared" si="208"/>
        <v>4740.57</v>
      </c>
      <c r="L357" s="626">
        <v>689</v>
      </c>
      <c r="M357" s="654">
        <v>689</v>
      </c>
      <c r="N357" s="302">
        <f t="shared" si="214"/>
        <v>4740.57</v>
      </c>
      <c r="O357" s="299">
        <f t="shared" si="209"/>
        <v>161.08999999999992</v>
      </c>
      <c r="P357" s="304">
        <v>15.48</v>
      </c>
      <c r="Q357" s="304"/>
      <c r="R357" s="304">
        <v>38.18</v>
      </c>
      <c r="S357" s="291">
        <f t="shared" si="210"/>
        <v>138.3899999999999</v>
      </c>
      <c r="T357" s="296">
        <f t="shared" si="215"/>
        <v>38.18</v>
      </c>
      <c r="U357" s="296">
        <f t="shared" si="216"/>
        <v>689</v>
      </c>
      <c r="V357" s="307">
        <f t="shared" si="217"/>
        <v>0</v>
      </c>
      <c r="W357" s="805">
        <f t="shared" si="218"/>
        <v>727.18</v>
      </c>
      <c r="X357" s="295">
        <f t="shared" si="219"/>
        <v>34978.530000000006</v>
      </c>
      <c r="Y357" s="292">
        <f t="shared" si="220"/>
        <v>33345.48</v>
      </c>
      <c r="Z357" s="584">
        <f t="shared" si="221"/>
        <v>32656.48</v>
      </c>
      <c r="AB357" s="8">
        <f t="shared" si="211"/>
        <v>104958.70000000001</v>
      </c>
      <c r="AC357" s="8">
        <f t="shared" si="212"/>
        <v>99684.48</v>
      </c>
      <c r="AD357" s="775"/>
      <c r="AE357" s="774"/>
    </row>
    <row r="358" spans="1:31" ht="18.75">
      <c r="A358" s="73" t="s">
        <v>139</v>
      </c>
      <c r="B358" s="74">
        <f t="shared" si="205"/>
        <v>-443988.31000000046</v>
      </c>
      <c r="C358" s="768">
        <v>41833.43</v>
      </c>
      <c r="D358" s="314">
        <v>43025.57</v>
      </c>
      <c r="E358" s="74"/>
      <c r="F358" s="74">
        <f t="shared" si="206"/>
        <v>-445180.4500000005</v>
      </c>
      <c r="G358" s="297">
        <f t="shared" si="207"/>
        <v>2955.81</v>
      </c>
      <c r="H358" s="1144">
        <v>268.71</v>
      </c>
      <c r="I358" s="305"/>
      <c r="J358" s="306">
        <f t="shared" si="213"/>
        <v>3224.52</v>
      </c>
      <c r="K358" s="298">
        <f t="shared" si="208"/>
        <v>1421.96</v>
      </c>
      <c r="L358" s="1146">
        <v>1421.46</v>
      </c>
      <c r="M358" s="654">
        <v>2142.79</v>
      </c>
      <c r="N358" s="302">
        <f t="shared" si="214"/>
        <v>700.6300000000001</v>
      </c>
      <c r="O358" s="299">
        <f t="shared" si="209"/>
        <v>-4663.56</v>
      </c>
      <c r="P358" s="304">
        <v>80.19</v>
      </c>
      <c r="Q358" s="304"/>
      <c r="R358" s="304">
        <v>98.51</v>
      </c>
      <c r="S358" s="291">
        <f t="shared" si="210"/>
        <v>-4681.880000000001</v>
      </c>
      <c r="T358" s="296">
        <f t="shared" si="215"/>
        <v>98.51</v>
      </c>
      <c r="U358" s="296">
        <f t="shared" si="216"/>
        <v>2142.79</v>
      </c>
      <c r="V358" s="307">
        <f t="shared" si="217"/>
        <v>0</v>
      </c>
      <c r="W358" s="805">
        <f t="shared" si="218"/>
        <v>2241.3</v>
      </c>
      <c r="X358" s="295">
        <f t="shared" si="219"/>
        <v>43603.79</v>
      </c>
      <c r="Y358" s="292">
        <f t="shared" si="220"/>
        <v>45266.87</v>
      </c>
      <c r="Z358" s="584">
        <f t="shared" si="221"/>
        <v>43124.08</v>
      </c>
      <c r="AB358" s="8">
        <f t="shared" si="211"/>
        <v>130825.42000000001</v>
      </c>
      <c r="AC358" s="8">
        <f t="shared" si="212"/>
        <v>133756.01</v>
      </c>
      <c r="AD358" s="775"/>
      <c r="AE358" s="774"/>
    </row>
    <row r="359" spans="1:31" ht="24" customHeight="1">
      <c r="A359" s="73" t="s">
        <v>140</v>
      </c>
      <c r="B359" s="74">
        <f t="shared" si="205"/>
        <v>21792.99999999993</v>
      </c>
      <c r="C359" s="768">
        <v>14903.07</v>
      </c>
      <c r="D359" s="314">
        <v>15729.47</v>
      </c>
      <c r="E359" s="74"/>
      <c r="F359" s="74">
        <f t="shared" si="206"/>
        <v>20966.599999999933</v>
      </c>
      <c r="G359" s="297">
        <f t="shared" si="207"/>
        <v>0</v>
      </c>
      <c r="H359" s="1122"/>
      <c r="I359" s="305"/>
      <c r="J359" s="306">
        <f t="shared" si="213"/>
        <v>0</v>
      </c>
      <c r="K359" s="298">
        <f t="shared" si="208"/>
        <v>0</v>
      </c>
      <c r="L359" s="1147"/>
      <c r="M359" s="441"/>
      <c r="N359" s="302">
        <f t="shared" si="214"/>
        <v>0</v>
      </c>
      <c r="O359" s="299">
        <f t="shared" si="209"/>
        <v>84.94000000000001</v>
      </c>
      <c r="P359" s="769">
        <v>31.75</v>
      </c>
      <c r="Q359" s="769"/>
      <c r="R359" s="769">
        <v>36.01</v>
      </c>
      <c r="S359" s="291">
        <f t="shared" si="210"/>
        <v>80.68</v>
      </c>
      <c r="T359" s="296">
        <f t="shared" si="215"/>
        <v>36.01</v>
      </c>
      <c r="U359" s="296">
        <f t="shared" si="216"/>
        <v>0</v>
      </c>
      <c r="V359" s="307">
        <f t="shared" si="217"/>
        <v>0</v>
      </c>
      <c r="W359" s="805">
        <f t="shared" si="218"/>
        <v>36.01</v>
      </c>
      <c r="X359" s="295">
        <f t="shared" si="219"/>
        <v>14934.82</v>
      </c>
      <c r="Y359" s="292">
        <f t="shared" si="220"/>
        <v>15765.48</v>
      </c>
      <c r="Z359" s="584">
        <f t="shared" si="221"/>
        <v>15765.48</v>
      </c>
      <c r="AA359" s="703"/>
      <c r="AB359" s="8">
        <f t="shared" si="211"/>
        <v>44787.61</v>
      </c>
      <c r="AC359" s="8">
        <f t="shared" si="212"/>
        <v>42854.91</v>
      </c>
      <c r="AD359" s="775"/>
      <c r="AE359" s="774"/>
    </row>
    <row r="360" spans="1:31" ht="18.75">
      <c r="A360" s="708" t="s">
        <v>188</v>
      </c>
      <c r="B360" s="74">
        <f t="shared" si="205"/>
        <v>16550.26999999993</v>
      </c>
      <c r="C360" s="767">
        <v>39551.25</v>
      </c>
      <c r="D360" s="761">
        <v>37584.09</v>
      </c>
      <c r="E360" s="74"/>
      <c r="F360" s="74">
        <f t="shared" si="206"/>
        <v>18517.429999999935</v>
      </c>
      <c r="G360" s="297">
        <f t="shared" si="207"/>
        <v>6099.240000000001</v>
      </c>
      <c r="H360" s="1145">
        <v>338.67</v>
      </c>
      <c r="I360" s="258"/>
      <c r="J360" s="306">
        <f t="shared" si="213"/>
        <v>6437.910000000001</v>
      </c>
      <c r="K360" s="298">
        <f t="shared" si="208"/>
        <v>-30246.649999999994</v>
      </c>
      <c r="L360" s="701">
        <f>666.74+435.13+359.87</f>
        <v>1461.7399999999998</v>
      </c>
      <c r="M360" s="766">
        <v>1835.13</v>
      </c>
      <c r="N360" s="302">
        <f t="shared" si="214"/>
        <v>-30620.039999999997</v>
      </c>
      <c r="O360" s="299">
        <f t="shared" si="209"/>
        <v>-16506.600000000006</v>
      </c>
      <c r="P360" s="769">
        <v>41.77</v>
      </c>
      <c r="Q360" s="770"/>
      <c r="R360" s="770">
        <v>70.95</v>
      </c>
      <c r="S360" s="291">
        <f t="shared" si="210"/>
        <v>-16535.780000000006</v>
      </c>
      <c r="T360" s="296">
        <f t="shared" si="215"/>
        <v>70.95</v>
      </c>
      <c r="U360" s="296">
        <f t="shared" si="216"/>
        <v>1835.13</v>
      </c>
      <c r="V360" s="307">
        <f t="shared" si="217"/>
        <v>0</v>
      </c>
      <c r="W360" s="805">
        <f t="shared" si="218"/>
        <v>1906.0800000000002</v>
      </c>
      <c r="X360" s="295">
        <f t="shared" si="219"/>
        <v>41393.42999999999</v>
      </c>
      <c r="Y360" s="292">
        <f t="shared" si="220"/>
        <v>39490.16999999999</v>
      </c>
      <c r="Z360" s="584">
        <f t="shared" si="221"/>
        <v>37655.03999999999</v>
      </c>
      <c r="AA360" s="792"/>
      <c r="AB360" s="8">
        <f t="shared" si="211"/>
        <v>124233.80999999998</v>
      </c>
      <c r="AC360" s="8">
        <f t="shared" si="212"/>
        <v>132247.47999999998</v>
      </c>
      <c r="AD360" s="775"/>
      <c r="AE360" s="774"/>
    </row>
    <row r="361" spans="1:31" ht="18.75">
      <c r="A361" s="709" t="s">
        <v>189</v>
      </c>
      <c r="B361" s="74">
        <f t="shared" si="205"/>
        <v>95096.38</v>
      </c>
      <c r="C361" s="767">
        <v>45631.94</v>
      </c>
      <c r="D361" s="761">
        <v>45890.44</v>
      </c>
      <c r="E361" s="74"/>
      <c r="F361" s="74">
        <f t="shared" si="206"/>
        <v>94837.88</v>
      </c>
      <c r="G361" s="297">
        <f t="shared" si="207"/>
        <v>30018.140000000003</v>
      </c>
      <c r="H361" s="1145">
        <v>1885.74</v>
      </c>
      <c r="I361" s="258"/>
      <c r="J361" s="306">
        <f t="shared" si="213"/>
        <v>31903.880000000005</v>
      </c>
      <c r="K361" s="298">
        <f t="shared" si="208"/>
        <v>-13456.509999999995</v>
      </c>
      <c r="L361" s="701">
        <v>701.19</v>
      </c>
      <c r="M361" s="759">
        <v>0</v>
      </c>
      <c r="N361" s="302">
        <f t="shared" si="214"/>
        <v>-12755.319999999994</v>
      </c>
      <c r="O361" s="299">
        <f t="shared" si="209"/>
        <v>-69464.72</v>
      </c>
      <c r="P361" s="769">
        <v>98.33</v>
      </c>
      <c r="Q361" s="770"/>
      <c r="R361" s="770">
        <f>143.71+469.1</f>
        <v>612.8100000000001</v>
      </c>
      <c r="S361" s="291">
        <f t="shared" si="210"/>
        <v>-69979.2</v>
      </c>
      <c r="T361" s="296">
        <f t="shared" si="215"/>
        <v>612.8100000000001</v>
      </c>
      <c r="U361" s="296">
        <f t="shared" si="216"/>
        <v>0</v>
      </c>
      <c r="V361" s="307">
        <f t="shared" si="217"/>
        <v>0</v>
      </c>
      <c r="W361" s="805">
        <f t="shared" si="218"/>
        <v>612.8100000000001</v>
      </c>
      <c r="X361" s="295">
        <f t="shared" si="219"/>
        <v>48317.200000000004</v>
      </c>
      <c r="Y361" s="292">
        <f t="shared" si="220"/>
        <v>46503.25</v>
      </c>
      <c r="Z361" s="584">
        <f t="shared" si="221"/>
        <v>46503.25</v>
      </c>
      <c r="AA361" s="792"/>
      <c r="AB361" s="8">
        <f t="shared" si="211"/>
        <v>147704.52000000002</v>
      </c>
      <c r="AC361" s="8">
        <f t="shared" si="212"/>
        <v>140631.36</v>
      </c>
      <c r="AD361" s="775"/>
      <c r="AE361" s="774"/>
    </row>
    <row r="362" spans="1:31" ht="18.75">
      <c r="A362" s="709" t="s">
        <v>218</v>
      </c>
      <c r="B362" s="74">
        <f t="shared" si="205"/>
        <v>106694.27000000002</v>
      </c>
      <c r="C362" s="767">
        <v>42325.8</v>
      </c>
      <c r="D362" s="761">
        <v>41007.74</v>
      </c>
      <c r="E362" s="74"/>
      <c r="F362" s="74">
        <f t="shared" si="206"/>
        <v>108012.33000000002</v>
      </c>
      <c r="G362" s="297">
        <f t="shared" si="207"/>
        <v>0</v>
      </c>
      <c r="H362" s="1125">
        <v>0</v>
      </c>
      <c r="I362" s="258"/>
      <c r="J362" s="306">
        <f t="shared" si="213"/>
        <v>0</v>
      </c>
      <c r="K362" s="298">
        <f t="shared" si="208"/>
        <v>-62945.81</v>
      </c>
      <c r="L362" s="701">
        <v>642.36</v>
      </c>
      <c r="M362" s="759">
        <v>642.36</v>
      </c>
      <c r="N362" s="302">
        <f t="shared" si="214"/>
        <v>-62945.81</v>
      </c>
      <c r="O362" s="299">
        <f t="shared" si="209"/>
        <v>-76921.90000000002</v>
      </c>
      <c r="P362" s="769">
        <v>46.62</v>
      </c>
      <c r="Q362" s="770"/>
      <c r="R362" s="770">
        <v>115.42</v>
      </c>
      <c r="S362" s="291">
        <f t="shared" si="210"/>
        <v>-76990.70000000003</v>
      </c>
      <c r="T362" s="296">
        <f t="shared" si="215"/>
        <v>115.42</v>
      </c>
      <c r="U362" s="296">
        <f t="shared" si="216"/>
        <v>642.36</v>
      </c>
      <c r="V362" s="307">
        <f t="shared" si="217"/>
        <v>0</v>
      </c>
      <c r="W362" s="805">
        <f t="shared" si="218"/>
        <v>757.78</v>
      </c>
      <c r="X362" s="295">
        <f t="shared" si="219"/>
        <v>43014.780000000006</v>
      </c>
      <c r="Y362" s="292">
        <f t="shared" si="220"/>
        <v>41765.52</v>
      </c>
      <c r="Z362" s="584">
        <f t="shared" si="221"/>
        <v>41123.159999999996</v>
      </c>
      <c r="AA362" s="792"/>
      <c r="AB362" s="8">
        <f t="shared" si="211"/>
        <v>129526.33000000002</v>
      </c>
      <c r="AC362" s="8">
        <f t="shared" si="212"/>
        <v>144600.13999999998</v>
      </c>
      <c r="AD362" s="775"/>
      <c r="AE362" s="774"/>
    </row>
    <row r="363" spans="1:31" ht="18.75">
      <c r="A363" s="709" t="s">
        <v>249</v>
      </c>
      <c r="B363" s="74">
        <f t="shared" si="205"/>
        <v>71710.61000000002</v>
      </c>
      <c r="C363" s="767">
        <v>15747.9</v>
      </c>
      <c r="D363" s="761">
        <v>23720.2</v>
      </c>
      <c r="E363" s="74"/>
      <c r="F363" s="74">
        <f t="shared" si="206"/>
        <v>63738.31000000001</v>
      </c>
      <c r="G363" s="297">
        <f t="shared" si="207"/>
        <v>0</v>
      </c>
      <c r="H363" s="1125">
        <v>0</v>
      </c>
      <c r="I363" s="258"/>
      <c r="J363" s="306">
        <f t="shared" si="213"/>
        <v>0</v>
      </c>
      <c r="K363" s="298">
        <f t="shared" si="208"/>
        <v>0</v>
      </c>
      <c r="L363" s="1147">
        <v>0</v>
      </c>
      <c r="M363" s="759">
        <v>0</v>
      </c>
      <c r="N363" s="302">
        <f t="shared" si="214"/>
        <v>0</v>
      </c>
      <c r="O363" s="299">
        <f t="shared" si="209"/>
        <v>6934.639999999999</v>
      </c>
      <c r="P363" s="769">
        <v>692.83</v>
      </c>
      <c r="Q363" s="770"/>
      <c r="R363" s="770">
        <f>707.61+2558.59</f>
        <v>3266.2000000000003</v>
      </c>
      <c r="S363" s="291">
        <f t="shared" si="210"/>
        <v>4361.269999999999</v>
      </c>
      <c r="T363" s="296">
        <f t="shared" si="215"/>
        <v>3266.2000000000003</v>
      </c>
      <c r="U363" s="296">
        <f t="shared" si="216"/>
        <v>0</v>
      </c>
      <c r="V363" s="307">
        <f t="shared" si="217"/>
        <v>0</v>
      </c>
      <c r="W363" s="805">
        <f t="shared" si="218"/>
        <v>3266.2000000000003</v>
      </c>
      <c r="X363" s="295">
        <f t="shared" si="219"/>
        <v>16440.73</v>
      </c>
      <c r="Y363" s="292">
        <f t="shared" si="220"/>
        <v>26986.4</v>
      </c>
      <c r="Z363" s="584">
        <f t="shared" si="221"/>
        <v>26986.4</v>
      </c>
      <c r="AA363" s="792"/>
      <c r="AB363" s="8">
        <f t="shared" si="211"/>
        <v>48858.78</v>
      </c>
      <c r="AC363" s="8">
        <f t="shared" si="212"/>
        <v>73720.63</v>
      </c>
      <c r="AD363" s="775"/>
      <c r="AE363" s="774"/>
    </row>
    <row r="364" spans="1:31" ht="18.75">
      <c r="A364" s="709" t="s">
        <v>303</v>
      </c>
      <c r="B364" s="74">
        <f t="shared" si="205"/>
        <v>474748.3099999998</v>
      </c>
      <c r="C364" s="767">
        <v>55434.82</v>
      </c>
      <c r="D364" s="761">
        <v>127164.33</v>
      </c>
      <c r="E364" s="74"/>
      <c r="F364" s="74">
        <f t="shared" si="206"/>
        <v>403018.79999999976</v>
      </c>
      <c r="G364" s="297">
        <f t="shared" si="207"/>
        <v>0</v>
      </c>
      <c r="H364" s="1126">
        <v>0</v>
      </c>
      <c r="I364" s="258"/>
      <c r="J364" s="306">
        <f t="shared" si="213"/>
        <v>0</v>
      </c>
      <c r="K364" s="298">
        <f t="shared" si="208"/>
        <v>27991.04</v>
      </c>
      <c r="L364" s="599">
        <v>1674.27</v>
      </c>
      <c r="M364" s="759">
        <v>1674.27</v>
      </c>
      <c r="N364" s="302">
        <f t="shared" si="214"/>
        <v>27991.04</v>
      </c>
      <c r="O364" s="299">
        <f t="shared" si="209"/>
        <v>-2072.0199999999995</v>
      </c>
      <c r="P364" s="769">
        <v>253.87</v>
      </c>
      <c r="Q364" s="770"/>
      <c r="R364" s="770">
        <f>248.65+21809.49</f>
        <v>22058.140000000003</v>
      </c>
      <c r="S364" s="291">
        <f t="shared" si="210"/>
        <v>-23876.29</v>
      </c>
      <c r="T364" s="296">
        <f t="shared" si="215"/>
        <v>22058.140000000003</v>
      </c>
      <c r="U364" s="296">
        <f t="shared" si="216"/>
        <v>1674.27</v>
      </c>
      <c r="V364" s="307">
        <f t="shared" si="217"/>
        <v>0</v>
      </c>
      <c r="W364" s="805">
        <f t="shared" si="218"/>
        <v>23732.410000000003</v>
      </c>
      <c r="X364" s="295">
        <f t="shared" si="219"/>
        <v>57362.96</v>
      </c>
      <c r="Y364" s="295">
        <f>D364+I364+M364+R364</f>
        <v>150896.74000000002</v>
      </c>
      <c r="Z364" s="584">
        <f t="shared" si="221"/>
        <v>149222.47</v>
      </c>
      <c r="AA364" s="792"/>
      <c r="AB364" s="8">
        <f t="shared" si="211"/>
        <v>652833.3999999999</v>
      </c>
      <c r="AC364" s="8">
        <f t="shared" si="212"/>
        <v>327707.9</v>
      </c>
      <c r="AD364" s="775"/>
      <c r="AE364" s="774"/>
    </row>
    <row r="365" spans="1:31" ht="19.5" thickBot="1">
      <c r="A365" s="709" t="s">
        <v>317</v>
      </c>
      <c r="B365" s="74">
        <f t="shared" si="205"/>
        <v>64696.84</v>
      </c>
      <c r="C365" s="767">
        <v>834784.71</v>
      </c>
      <c r="D365" s="817">
        <f>50747.8</f>
        <v>50747.8</v>
      </c>
      <c r="E365" s="74"/>
      <c r="F365" s="74">
        <f t="shared" si="206"/>
        <v>848733.7499999999</v>
      </c>
      <c r="G365" s="297">
        <f t="shared" si="207"/>
        <v>0</v>
      </c>
      <c r="H365" s="1127">
        <v>0</v>
      </c>
      <c r="I365" s="258"/>
      <c r="J365" s="306">
        <f t="shared" si="213"/>
        <v>0</v>
      </c>
      <c r="K365" s="298">
        <f t="shared" si="208"/>
        <v>12590.84</v>
      </c>
      <c r="L365" s="625">
        <v>5536.91</v>
      </c>
      <c r="M365" s="759">
        <v>10126.18</v>
      </c>
      <c r="N365" s="302">
        <f t="shared" si="214"/>
        <v>8001.57</v>
      </c>
      <c r="O365" s="299">
        <f t="shared" si="209"/>
        <v>0</v>
      </c>
      <c r="P365" s="769">
        <v>4.28</v>
      </c>
      <c r="Q365" s="770"/>
      <c r="R365" s="770">
        <v>4.28</v>
      </c>
      <c r="S365" s="291">
        <f t="shared" si="210"/>
        <v>0</v>
      </c>
      <c r="T365" s="307">
        <f>R365</f>
        <v>4.28</v>
      </c>
      <c r="U365" s="296">
        <f t="shared" si="216"/>
        <v>10126.18</v>
      </c>
      <c r="V365" s="307">
        <f t="shared" si="217"/>
        <v>0</v>
      </c>
      <c r="W365" s="805">
        <f t="shared" si="218"/>
        <v>10130.460000000001</v>
      </c>
      <c r="X365" s="295">
        <f t="shared" si="219"/>
        <v>840325.9</v>
      </c>
      <c r="Y365" s="295">
        <f>D365+I365+M365+R365</f>
        <v>60878.26</v>
      </c>
      <c r="Z365" s="584">
        <f t="shared" si="221"/>
        <v>50752.08</v>
      </c>
      <c r="AA365" s="792"/>
      <c r="AB365" s="8">
        <f t="shared" si="211"/>
        <v>976426.88</v>
      </c>
      <c r="AC365" s="8">
        <f t="shared" si="212"/>
        <v>108617.74</v>
      </c>
      <c r="AD365" s="775"/>
      <c r="AE365" s="774"/>
    </row>
    <row r="366" spans="1:35" ht="36.75" customHeight="1" thickBot="1">
      <c r="A366" s="494" t="s">
        <v>127</v>
      </c>
      <c r="B366" s="807">
        <f>SUM(B339:B365)</f>
        <v>2266077.2500000014</v>
      </c>
      <c r="C366" s="808">
        <f>SUM(C339:C365)</f>
        <v>1727405.11</v>
      </c>
      <c r="D366" s="808">
        <f>SUM(D339:D365)</f>
        <v>1008543.63</v>
      </c>
      <c r="E366" s="809"/>
      <c r="F366" s="807">
        <f>SUM(F339:F365)</f>
        <v>2984938.730000002</v>
      </c>
      <c r="G366" s="807">
        <f>SUM(G339:G365)</f>
        <v>228617.18999999994</v>
      </c>
      <c r="H366" s="1036">
        <f>SUM(H339:H365)</f>
        <v>9445.42</v>
      </c>
      <c r="I366" s="809">
        <v>0</v>
      </c>
      <c r="J366" s="807">
        <f aca="true" t="shared" si="222" ref="J366:P366">SUM(J339:J365)</f>
        <v>238062.60999999996</v>
      </c>
      <c r="K366" s="807">
        <f t="shared" si="222"/>
        <v>-50531.94999999997</v>
      </c>
      <c r="L366" s="810">
        <f t="shared" si="222"/>
        <v>32517.559999999994</v>
      </c>
      <c r="M366" s="811">
        <f t="shared" si="222"/>
        <v>44359.090000000004</v>
      </c>
      <c r="N366" s="807">
        <f t="shared" si="222"/>
        <v>-62373.47999999996</v>
      </c>
      <c r="O366" s="807">
        <f t="shared" si="222"/>
        <v>-166181.44000000003</v>
      </c>
      <c r="P366" s="811">
        <f t="shared" si="222"/>
        <v>3089.66</v>
      </c>
      <c r="Q366" s="809"/>
      <c r="R366" s="811">
        <f>SUM(R339:R365)</f>
        <v>30148.200000000004</v>
      </c>
      <c r="S366" s="807">
        <f>O366+P366-R366</f>
        <v>-193239.98000000004</v>
      </c>
      <c r="T366" s="812">
        <f>SUM(T339:T362)</f>
        <v>4819.58</v>
      </c>
      <c r="U366" s="812">
        <f>SUM(U339:U362)</f>
        <v>32558.640000000007</v>
      </c>
      <c r="V366" s="810">
        <f>SUM(V339:V362)</f>
        <v>0</v>
      </c>
      <c r="W366" s="809">
        <f t="shared" si="218"/>
        <v>37378.22000000001</v>
      </c>
      <c r="X366" s="807">
        <f>SUM(X339:X365)</f>
        <v>1772457.75</v>
      </c>
      <c r="Y366" s="809">
        <f>SUM(Y339:Y365)</f>
        <v>1083050.92</v>
      </c>
      <c r="Z366" s="813">
        <f>SUM(Z339:Z365)</f>
        <v>1038691.8299999998</v>
      </c>
      <c r="AA366" s="704"/>
      <c r="AB366" s="48">
        <f>SUM(AB339:AB365)</f>
        <v>4256108.22</v>
      </c>
      <c r="AC366" s="48">
        <f>SUM(AC339:AC365)</f>
        <v>3025238.62</v>
      </c>
      <c r="AD366" s="550"/>
      <c r="AE366" s="774"/>
      <c r="AF366" s="11"/>
      <c r="AG366" s="11"/>
      <c r="AH366" s="11"/>
      <c r="AI366" s="11"/>
    </row>
    <row r="367" spans="1:35" s="667" customFormat="1" ht="36.75" customHeight="1" thickBot="1">
      <c r="A367" s="871"/>
      <c r="B367" s="872"/>
      <c r="C367" s="669"/>
      <c r="D367" s="669"/>
      <c r="E367" s="873"/>
      <c r="F367" s="872"/>
      <c r="G367" s="873"/>
      <c r="H367" s="874"/>
      <c r="I367" s="873"/>
      <c r="J367" s="873"/>
      <c r="K367" s="873"/>
      <c r="L367" s="875"/>
      <c r="M367" s="874"/>
      <c r="N367" s="873"/>
      <c r="O367" s="873"/>
      <c r="P367" s="874"/>
      <c r="Q367" s="873"/>
      <c r="R367" s="874"/>
      <c r="S367" s="873"/>
      <c r="T367" s="876"/>
      <c r="U367" s="876"/>
      <c r="V367" s="875"/>
      <c r="W367" s="873"/>
      <c r="X367" s="872"/>
      <c r="Y367" s="873"/>
      <c r="Z367" s="669"/>
      <c r="AA367" s="877"/>
      <c r="AB367" s="878"/>
      <c r="AC367" s="878"/>
      <c r="AD367" s="550"/>
      <c r="AE367" s="774"/>
      <c r="AF367" s="550"/>
      <c r="AG367" s="550"/>
      <c r="AH367" s="550"/>
      <c r="AI367" s="550"/>
    </row>
    <row r="368" spans="1:35" ht="21.75" thickBot="1">
      <c r="A368" s="240"/>
      <c r="B368" s="69" t="s">
        <v>232</v>
      </c>
      <c r="C368" s="69"/>
      <c r="D368" s="69"/>
      <c r="E368" s="69"/>
      <c r="F368" s="68"/>
      <c r="G368" s="5"/>
      <c r="H368" s="4"/>
      <c r="I368" s="5"/>
      <c r="J368" s="5"/>
      <c r="K368" s="6"/>
      <c r="L368" s="5"/>
      <c r="O368" s="2"/>
      <c r="S368" s="240" t="s">
        <v>46</v>
      </c>
      <c r="X368" s="703" t="s">
        <v>174</v>
      </c>
      <c r="Y368" s="703"/>
      <c r="Z368" s="703"/>
      <c r="AA368" s="763"/>
      <c r="AB368" s="776"/>
      <c r="AC368" s="673"/>
      <c r="AD368" s="673"/>
      <c r="AE368" s="674"/>
      <c r="AF368" s="11"/>
      <c r="AG368" s="11"/>
      <c r="AH368" s="11"/>
      <c r="AI368" s="11"/>
    </row>
    <row r="369" spans="1:35" ht="40.5" customHeight="1" thickBot="1">
      <c r="A369" s="408" t="s">
        <v>143</v>
      </c>
      <c r="B369" s="1670" t="s">
        <v>233</v>
      </c>
      <c r="C369" s="1585" t="s">
        <v>2</v>
      </c>
      <c r="D369" s="1586"/>
      <c r="E369" s="1586"/>
      <c r="F369" s="1591"/>
      <c r="G369" s="85" t="s">
        <v>27</v>
      </c>
      <c r="H369" s="1594" t="s">
        <v>3</v>
      </c>
      <c r="I369" s="1595"/>
      <c r="J369" s="1596"/>
      <c r="K369" s="88" t="s">
        <v>27</v>
      </c>
      <c r="L369" s="1582" t="s">
        <v>4</v>
      </c>
      <c r="M369" s="1583"/>
      <c r="N369" s="1584"/>
      <c r="O369" s="84" t="s">
        <v>27</v>
      </c>
      <c r="P369" s="1585" t="s">
        <v>23</v>
      </c>
      <c r="Q369" s="1586"/>
      <c r="R369" s="1586"/>
      <c r="S369" s="1587"/>
      <c r="T369" s="1579" t="s">
        <v>395</v>
      </c>
      <c r="U369" s="1580"/>
      <c r="V369" s="1580"/>
      <c r="W369" s="1581"/>
      <c r="X369" s="1573" t="s">
        <v>396</v>
      </c>
      <c r="Y369" s="1574"/>
      <c r="Z369" s="1574"/>
      <c r="AA369" s="1575"/>
      <c r="AB369" s="764"/>
      <c r="AC369" s="293"/>
      <c r="AD369" s="293"/>
      <c r="AE369" s="765"/>
      <c r="AF369" s="11"/>
      <c r="AG369" s="1674"/>
      <c r="AH369" s="1675"/>
      <c r="AI369" s="11"/>
    </row>
    <row r="370" spans="1:35" ht="54.75" thickBot="1">
      <c r="A370" s="111" t="s">
        <v>1</v>
      </c>
      <c r="B370" s="1671"/>
      <c r="C370" s="81" t="s">
        <v>5</v>
      </c>
      <c r="D370" s="81" t="s">
        <v>6</v>
      </c>
      <c r="E370" s="81" t="s">
        <v>65</v>
      </c>
      <c r="F370" s="81" t="s">
        <v>234</v>
      </c>
      <c r="G370" s="86" t="s">
        <v>233</v>
      </c>
      <c r="H370" s="87" t="s">
        <v>5</v>
      </c>
      <c r="I370" s="87" t="s">
        <v>6</v>
      </c>
      <c r="J370" s="86" t="s">
        <v>235</v>
      </c>
      <c r="K370" s="115" t="s">
        <v>233</v>
      </c>
      <c r="L370" s="115" t="s">
        <v>5</v>
      </c>
      <c r="M370" s="115" t="s">
        <v>6</v>
      </c>
      <c r="N370" s="115" t="s">
        <v>236</v>
      </c>
      <c r="O370" s="116" t="s">
        <v>233</v>
      </c>
      <c r="P370" s="116" t="s">
        <v>5</v>
      </c>
      <c r="Q370" s="116" t="s">
        <v>64</v>
      </c>
      <c r="R370" s="116" t="s">
        <v>6</v>
      </c>
      <c r="S370" s="116" t="s">
        <v>237</v>
      </c>
      <c r="T370" s="244" t="s">
        <v>117</v>
      </c>
      <c r="U370" s="239" t="s">
        <v>69</v>
      </c>
      <c r="V370" s="239" t="s">
        <v>95</v>
      </c>
      <c r="W370" s="245" t="s">
        <v>103</v>
      </c>
      <c r="X370" s="825" t="s">
        <v>116</v>
      </c>
      <c r="Y370" s="823" t="s">
        <v>69</v>
      </c>
      <c r="Z370" s="826" t="s">
        <v>82</v>
      </c>
      <c r="AA370" s="827" t="s">
        <v>75</v>
      </c>
      <c r="AB370" s="824" t="s">
        <v>169</v>
      </c>
      <c r="AC370" s="1183" t="s">
        <v>36</v>
      </c>
      <c r="AD370" s="1183" t="s">
        <v>26</v>
      </c>
      <c r="AE370" s="1184" t="s">
        <v>160</v>
      </c>
      <c r="AF370" s="11"/>
      <c r="AG370" s="1161"/>
      <c r="AH370" s="832"/>
      <c r="AI370" s="11"/>
    </row>
    <row r="371" spans="1:35" ht="18.75">
      <c r="A371" s="109" t="s">
        <v>50</v>
      </c>
      <c r="B371" s="74">
        <f aca="true" t="shared" si="223" ref="B371:B397">F339</f>
        <v>117113.93999999994</v>
      </c>
      <c r="C371" s="1175">
        <v>13336.39</v>
      </c>
      <c r="D371" s="1176">
        <v>23285.42</v>
      </c>
      <c r="E371" s="72"/>
      <c r="F371" s="74">
        <f>B371+C371-D371</f>
        <v>107164.90999999995</v>
      </c>
      <c r="G371" s="308">
        <f aca="true" t="shared" si="224" ref="G371:G397">J339</f>
        <v>33444.589999999975</v>
      </c>
      <c r="H371" s="1143">
        <v>1334.01</v>
      </c>
      <c r="I371" s="1168">
        <v>1862.42</v>
      </c>
      <c r="J371" s="306">
        <f>G371+H371-I371</f>
        <v>32916.17999999998</v>
      </c>
      <c r="K371" s="309">
        <f aca="true" t="shared" si="225" ref="K371:K397">N339</f>
        <v>-5365.19</v>
      </c>
      <c r="L371" s="1170">
        <v>4271.8</v>
      </c>
      <c r="M371" s="474">
        <v>4271.8</v>
      </c>
      <c r="N371" s="302">
        <f aca="true" t="shared" si="226" ref="N371:N397">K371+L371-M371</f>
        <v>-5365.19</v>
      </c>
      <c r="O371" s="310">
        <f aca="true" t="shared" si="227" ref="O371:O397">S339</f>
        <v>-1532.9400000000005</v>
      </c>
      <c r="P371" s="1164">
        <v>120.62</v>
      </c>
      <c r="Q371" s="1166"/>
      <c r="R371" s="1164">
        <f>118.34+93.38</f>
        <v>211.72</v>
      </c>
      <c r="S371" s="291">
        <f aca="true" t="shared" si="228" ref="S371:S398">O371+P371-R371</f>
        <v>-1624.0400000000006</v>
      </c>
      <c r="T371" s="316">
        <f>R371</f>
        <v>211.72</v>
      </c>
      <c r="U371" s="317">
        <f>M371</f>
        <v>4271.8</v>
      </c>
      <c r="V371" s="317">
        <f>I371</f>
        <v>1862.42</v>
      </c>
      <c r="W371" s="318">
        <f>T371+U371+V371</f>
        <v>6345.9400000000005</v>
      </c>
      <c r="X371" s="828">
        <f aca="true" t="shared" si="229" ref="X371:X397">T308+T339+T371</f>
        <v>502.29999999999995</v>
      </c>
      <c r="Y371" s="829">
        <f>U308+U339+U371</f>
        <v>17087.2</v>
      </c>
      <c r="Z371" s="829">
        <f>V308+V339+V371</f>
        <v>1862.42</v>
      </c>
      <c r="AA371" s="822">
        <f>Y371+Z371</f>
        <v>18949.620000000003</v>
      </c>
      <c r="AB371" s="620">
        <f>Y371+Z371</f>
        <v>18949.620000000003</v>
      </c>
      <c r="AC371" s="830">
        <f>C371+H371+L371+P371</f>
        <v>19062.82</v>
      </c>
      <c r="AD371" s="831">
        <f>D371+I371+M371+R371</f>
        <v>29631.359999999997</v>
      </c>
      <c r="AE371" s="813">
        <f>D371+R371</f>
        <v>23497.14</v>
      </c>
      <c r="AF371" s="11"/>
      <c r="AG371" s="833"/>
      <c r="AH371" s="833"/>
      <c r="AI371" s="11"/>
    </row>
    <row r="372" spans="1:35" ht="18.75">
      <c r="A372" s="110" t="s">
        <v>53</v>
      </c>
      <c r="B372" s="74">
        <f t="shared" si="223"/>
        <v>120253.90000000021</v>
      </c>
      <c r="C372" s="1175">
        <v>29769.7</v>
      </c>
      <c r="D372" s="1176">
        <v>38662.39</v>
      </c>
      <c r="E372" s="72"/>
      <c r="F372" s="74">
        <f aca="true" t="shared" si="230" ref="F372:F397">B372+C372-D372</f>
        <v>111361.21000000021</v>
      </c>
      <c r="G372" s="308">
        <f t="shared" si="224"/>
        <v>3198.9400000000005</v>
      </c>
      <c r="H372" s="1143">
        <v>258.4</v>
      </c>
      <c r="I372" s="1168">
        <v>379.18</v>
      </c>
      <c r="J372" s="306">
        <f aca="true" t="shared" si="231" ref="J372:J397">G372+H372-I372</f>
        <v>3078.1600000000008</v>
      </c>
      <c r="K372" s="309">
        <f t="shared" si="225"/>
        <v>-3502.6199999999976</v>
      </c>
      <c r="L372" s="1170">
        <v>120.78</v>
      </c>
      <c r="M372" s="474">
        <v>241.56</v>
      </c>
      <c r="N372" s="302">
        <f t="shared" si="226"/>
        <v>-3623.3999999999974</v>
      </c>
      <c r="O372" s="310">
        <f t="shared" si="227"/>
        <v>-804.0200000000003</v>
      </c>
      <c r="P372" s="1164">
        <v>207.87</v>
      </c>
      <c r="Q372" s="1166"/>
      <c r="R372" s="1164">
        <v>489.65</v>
      </c>
      <c r="S372" s="291">
        <f t="shared" si="228"/>
        <v>-1085.8000000000002</v>
      </c>
      <c r="T372" s="316">
        <f aca="true" t="shared" si="232" ref="T372:T397">R372</f>
        <v>489.65</v>
      </c>
      <c r="U372" s="317">
        <f aca="true" t="shared" si="233" ref="U372:U397">M372</f>
        <v>241.56</v>
      </c>
      <c r="V372" s="317">
        <f aca="true" t="shared" si="234" ref="V372:V397">I372</f>
        <v>379.18</v>
      </c>
      <c r="W372" s="318">
        <f aca="true" t="shared" si="235" ref="W372:W397">T372+U372+V372</f>
        <v>1110.39</v>
      </c>
      <c r="X372" s="828">
        <f t="shared" si="229"/>
        <v>735.14</v>
      </c>
      <c r="Y372" s="829">
        <f aca="true" t="shared" si="236" ref="Y372:Y396">U309+U340+U372</f>
        <v>362.34000000000003</v>
      </c>
      <c r="Z372" s="829">
        <f aca="true" t="shared" si="237" ref="Z372:Z397">V309+V340+V372</f>
        <v>379.18</v>
      </c>
      <c r="AA372" s="822">
        <f aca="true" t="shared" si="238" ref="AA372:AA397">Y372+Z372</f>
        <v>741.52</v>
      </c>
      <c r="AB372" s="620">
        <f aca="true" t="shared" si="239" ref="AB372:AB397">Y372+Z372</f>
        <v>741.52</v>
      </c>
      <c r="AC372" s="830">
        <f aca="true" t="shared" si="240" ref="AC372:AC397">C372+H372+L372+P372</f>
        <v>30356.75</v>
      </c>
      <c r="AD372" s="831">
        <f aca="true" t="shared" si="241" ref="AD372:AD397">D372+I372+M372+R372</f>
        <v>39772.78</v>
      </c>
      <c r="AE372" s="813">
        <f aca="true" t="shared" si="242" ref="AE372:AE397">D372+R372</f>
        <v>39152.04</v>
      </c>
      <c r="AF372" s="11"/>
      <c r="AG372" s="833"/>
      <c r="AH372" s="833"/>
      <c r="AI372" s="11"/>
    </row>
    <row r="373" spans="1:35" ht="18.75">
      <c r="A373" s="110" t="s">
        <v>8</v>
      </c>
      <c r="B373" s="74">
        <f t="shared" si="223"/>
        <v>74445.62</v>
      </c>
      <c r="C373" s="762"/>
      <c r="D373" s="1177"/>
      <c r="E373" s="74"/>
      <c r="F373" s="74">
        <f t="shared" si="230"/>
        <v>74445.62</v>
      </c>
      <c r="G373" s="308">
        <f t="shared" si="224"/>
        <v>0</v>
      </c>
      <c r="H373" s="1119"/>
      <c r="I373" s="1169">
        <v>0</v>
      </c>
      <c r="J373" s="306">
        <f t="shared" si="231"/>
        <v>0</v>
      </c>
      <c r="K373" s="309">
        <f t="shared" si="225"/>
        <v>0</v>
      </c>
      <c r="L373" s="1040"/>
      <c r="M373" s="738"/>
      <c r="N373" s="302">
        <f t="shared" si="226"/>
        <v>0</v>
      </c>
      <c r="O373" s="310">
        <f t="shared" si="227"/>
        <v>0</v>
      </c>
      <c r="P373" s="1162"/>
      <c r="Q373" s="1165"/>
      <c r="R373" s="1162"/>
      <c r="S373" s="291">
        <f t="shared" si="228"/>
        <v>0</v>
      </c>
      <c r="T373" s="316">
        <f t="shared" si="232"/>
        <v>0</v>
      </c>
      <c r="U373" s="317">
        <f t="shared" si="233"/>
        <v>0</v>
      </c>
      <c r="V373" s="317">
        <f t="shared" si="234"/>
        <v>0</v>
      </c>
      <c r="W373" s="318">
        <f t="shared" si="235"/>
        <v>0</v>
      </c>
      <c r="X373" s="828">
        <f t="shared" si="229"/>
        <v>0</v>
      </c>
      <c r="Y373" s="829">
        <f t="shared" si="236"/>
        <v>0</v>
      </c>
      <c r="Z373" s="829">
        <f t="shared" si="237"/>
        <v>0</v>
      </c>
      <c r="AA373" s="822">
        <f t="shared" si="238"/>
        <v>0</v>
      </c>
      <c r="AB373" s="620">
        <f t="shared" si="239"/>
        <v>0</v>
      </c>
      <c r="AC373" s="830">
        <f t="shared" si="240"/>
        <v>0</v>
      </c>
      <c r="AD373" s="831">
        <f t="shared" si="241"/>
        <v>0</v>
      </c>
      <c r="AE373" s="813">
        <f t="shared" si="242"/>
        <v>0</v>
      </c>
      <c r="AF373" s="11"/>
      <c r="AG373" s="833"/>
      <c r="AH373" s="833"/>
      <c r="AI373" s="11"/>
    </row>
    <row r="374" spans="1:35" ht="18.75">
      <c r="A374" s="110" t="s">
        <v>48</v>
      </c>
      <c r="B374" s="74">
        <f t="shared" si="223"/>
        <v>376734.17000000016</v>
      </c>
      <c r="C374" s="762">
        <v>72292</v>
      </c>
      <c r="D374" s="1177">
        <v>100914.43</v>
      </c>
      <c r="E374" s="74"/>
      <c r="F374" s="74">
        <f t="shared" si="230"/>
        <v>348111.74000000017</v>
      </c>
      <c r="G374" s="308">
        <f t="shared" si="224"/>
        <v>38419.17</v>
      </c>
      <c r="H374" s="1142">
        <v>1241.79</v>
      </c>
      <c r="I374" s="315">
        <v>2105.69</v>
      </c>
      <c r="J374" s="306">
        <f t="shared" si="231"/>
        <v>37555.27</v>
      </c>
      <c r="K374" s="309">
        <f t="shared" si="225"/>
        <v>-3891.859999999998</v>
      </c>
      <c r="L374" s="1170">
        <f>1653.07+242.74</f>
        <v>1895.81</v>
      </c>
      <c r="M374" s="475">
        <v>2456.13</v>
      </c>
      <c r="N374" s="302">
        <f t="shared" si="226"/>
        <v>-4452.1799999999985</v>
      </c>
      <c r="O374" s="310">
        <f t="shared" si="227"/>
        <v>-3251.0099999999984</v>
      </c>
      <c r="P374" s="1162">
        <v>463.02</v>
      </c>
      <c r="Q374" s="1167"/>
      <c r="R374" s="1162">
        <v>505.33</v>
      </c>
      <c r="S374" s="291">
        <f t="shared" si="228"/>
        <v>-3293.3199999999983</v>
      </c>
      <c r="T374" s="316">
        <f t="shared" si="232"/>
        <v>505.33</v>
      </c>
      <c r="U374" s="317">
        <f t="shared" si="233"/>
        <v>2456.13</v>
      </c>
      <c r="V374" s="317">
        <f t="shared" si="234"/>
        <v>2105.69</v>
      </c>
      <c r="W374" s="318">
        <f t="shared" si="235"/>
        <v>5067.15</v>
      </c>
      <c r="X374" s="828">
        <f t="shared" si="229"/>
        <v>2040.4799999999998</v>
      </c>
      <c r="Y374" s="829">
        <f t="shared" si="236"/>
        <v>8434.529999999999</v>
      </c>
      <c r="Z374" s="829">
        <f t="shared" si="237"/>
        <v>2105.69</v>
      </c>
      <c r="AA374" s="822">
        <f t="shared" si="238"/>
        <v>10540.22</v>
      </c>
      <c r="AB374" s="620">
        <f t="shared" si="239"/>
        <v>10540.22</v>
      </c>
      <c r="AC374" s="830">
        <f t="shared" si="240"/>
        <v>75892.62</v>
      </c>
      <c r="AD374" s="831">
        <f t="shared" si="241"/>
        <v>105981.58</v>
      </c>
      <c r="AE374" s="813">
        <f t="shared" si="242"/>
        <v>101419.76</v>
      </c>
      <c r="AF374" s="11"/>
      <c r="AG374" s="833"/>
      <c r="AH374" s="833"/>
      <c r="AI374" s="11"/>
    </row>
    <row r="375" spans="1:35" ht="18.75">
      <c r="A375" s="73" t="s">
        <v>9</v>
      </c>
      <c r="B375" s="74">
        <f t="shared" si="223"/>
        <v>122339.1700000001</v>
      </c>
      <c r="C375" s="762">
        <v>18048.09</v>
      </c>
      <c r="D375" s="1177">
        <v>20867.94</v>
      </c>
      <c r="E375" s="74"/>
      <c r="F375" s="74">
        <f t="shared" si="230"/>
        <v>119519.3200000001</v>
      </c>
      <c r="G375" s="308">
        <f t="shared" si="224"/>
        <v>46659.08</v>
      </c>
      <c r="H375" s="1142">
        <f>1337.19+99.64</f>
        <v>1436.8300000000002</v>
      </c>
      <c r="I375" s="315">
        <v>2197.91</v>
      </c>
      <c r="J375" s="306">
        <f t="shared" si="231"/>
        <v>45898</v>
      </c>
      <c r="K375" s="309">
        <f t="shared" si="225"/>
        <v>0</v>
      </c>
      <c r="L375" s="1040"/>
      <c r="M375" s="738"/>
      <c r="N375" s="302">
        <f t="shared" si="226"/>
        <v>0</v>
      </c>
      <c r="O375" s="310">
        <f t="shared" si="227"/>
        <v>-717.13</v>
      </c>
      <c r="P375" s="1162">
        <v>71.28</v>
      </c>
      <c r="Q375" s="1165"/>
      <c r="R375" s="1162">
        <v>80.92</v>
      </c>
      <c r="S375" s="291">
        <f t="shared" si="228"/>
        <v>-726.77</v>
      </c>
      <c r="T375" s="316">
        <f t="shared" si="232"/>
        <v>80.92</v>
      </c>
      <c r="U375" s="317">
        <f t="shared" si="233"/>
        <v>0</v>
      </c>
      <c r="V375" s="317">
        <f t="shared" si="234"/>
        <v>2197.91</v>
      </c>
      <c r="W375" s="318">
        <f t="shared" si="235"/>
        <v>2278.83</v>
      </c>
      <c r="X375" s="828">
        <f t="shared" si="229"/>
        <v>1398.78</v>
      </c>
      <c r="Y375" s="829">
        <f t="shared" si="236"/>
        <v>0</v>
      </c>
      <c r="Z375" s="829">
        <f t="shared" si="237"/>
        <v>2197.91</v>
      </c>
      <c r="AA375" s="822">
        <f t="shared" si="238"/>
        <v>2197.91</v>
      </c>
      <c r="AB375" s="620">
        <f t="shared" si="239"/>
        <v>2197.91</v>
      </c>
      <c r="AC375" s="830">
        <f t="shared" si="240"/>
        <v>19556.2</v>
      </c>
      <c r="AD375" s="831">
        <f t="shared" si="241"/>
        <v>23146.769999999997</v>
      </c>
      <c r="AE375" s="813">
        <f t="shared" si="242"/>
        <v>20948.859999999997</v>
      </c>
      <c r="AF375" s="11"/>
      <c r="AG375" s="833"/>
      <c r="AH375" s="833"/>
      <c r="AI375" s="11"/>
    </row>
    <row r="376" spans="1:35" ht="18.75">
      <c r="A376" s="73" t="s">
        <v>10</v>
      </c>
      <c r="B376" s="74">
        <f t="shared" si="223"/>
        <v>7280.92000000009</v>
      </c>
      <c r="C376" s="762">
        <v>7795.77</v>
      </c>
      <c r="D376" s="1177">
        <v>7417.34</v>
      </c>
      <c r="E376" s="74"/>
      <c r="F376" s="74">
        <f t="shared" si="230"/>
        <v>7659.3500000000895</v>
      </c>
      <c r="G376" s="308">
        <f t="shared" si="224"/>
        <v>0</v>
      </c>
      <c r="H376" s="1119"/>
      <c r="I376" s="315"/>
      <c r="J376" s="306">
        <f t="shared" si="231"/>
        <v>0</v>
      </c>
      <c r="K376" s="309">
        <f t="shared" si="225"/>
        <v>0</v>
      </c>
      <c r="L376" s="1040"/>
      <c r="M376" s="738"/>
      <c r="N376" s="302">
        <f t="shared" si="226"/>
        <v>0</v>
      </c>
      <c r="O376" s="310">
        <f t="shared" si="227"/>
        <v>15.379999999999978</v>
      </c>
      <c r="P376" s="1162">
        <v>0.02</v>
      </c>
      <c r="Q376" s="1165"/>
      <c r="R376" s="1162">
        <v>0</v>
      </c>
      <c r="S376" s="291">
        <f t="shared" si="228"/>
        <v>15.399999999999977</v>
      </c>
      <c r="T376" s="316">
        <f t="shared" si="232"/>
        <v>0</v>
      </c>
      <c r="U376" s="317">
        <f t="shared" si="233"/>
        <v>0</v>
      </c>
      <c r="V376" s="317">
        <f t="shared" si="234"/>
        <v>0</v>
      </c>
      <c r="W376" s="318">
        <f t="shared" si="235"/>
        <v>0</v>
      </c>
      <c r="X376" s="828">
        <f t="shared" si="229"/>
        <v>0</v>
      </c>
      <c r="Y376" s="829">
        <f t="shared" si="236"/>
        <v>0</v>
      </c>
      <c r="Z376" s="829">
        <f t="shared" si="237"/>
        <v>0</v>
      </c>
      <c r="AA376" s="822">
        <f t="shared" si="238"/>
        <v>0</v>
      </c>
      <c r="AB376" s="620">
        <f t="shared" si="239"/>
        <v>0</v>
      </c>
      <c r="AC376" s="830">
        <f t="shared" si="240"/>
        <v>7795.790000000001</v>
      </c>
      <c r="AD376" s="831">
        <f t="shared" si="241"/>
        <v>7417.34</v>
      </c>
      <c r="AE376" s="813">
        <f t="shared" si="242"/>
        <v>7417.34</v>
      </c>
      <c r="AF376" s="11"/>
      <c r="AG376" s="833"/>
      <c r="AH376" s="833"/>
      <c r="AI376" s="11"/>
    </row>
    <row r="377" spans="1:35" ht="18.75">
      <c r="A377" s="110" t="s">
        <v>11</v>
      </c>
      <c r="B377" s="74">
        <f t="shared" si="223"/>
        <v>8743.250000000036</v>
      </c>
      <c r="C377" s="762">
        <v>7768.21</v>
      </c>
      <c r="D377" s="1177">
        <v>9404.75</v>
      </c>
      <c r="E377" s="74"/>
      <c r="F377" s="74">
        <f t="shared" si="230"/>
        <v>7106.7100000000355</v>
      </c>
      <c r="G377" s="308">
        <f t="shared" si="224"/>
        <v>0</v>
      </c>
      <c r="H377" s="1119"/>
      <c r="I377" s="315"/>
      <c r="J377" s="306">
        <f t="shared" si="231"/>
        <v>0</v>
      </c>
      <c r="K377" s="309">
        <f t="shared" si="225"/>
        <v>0</v>
      </c>
      <c r="L377" s="1040"/>
      <c r="M377" s="738"/>
      <c r="N377" s="302">
        <f t="shared" si="226"/>
        <v>0</v>
      </c>
      <c r="O377" s="310">
        <f t="shared" si="227"/>
        <v>27.250000000000004</v>
      </c>
      <c r="P377" s="1162">
        <v>23.07</v>
      </c>
      <c r="Q377" s="1165"/>
      <c r="R377" s="1162">
        <v>48.86</v>
      </c>
      <c r="S377" s="291">
        <f t="shared" si="228"/>
        <v>1.460000000000008</v>
      </c>
      <c r="T377" s="316">
        <f t="shared" si="232"/>
        <v>48.86</v>
      </c>
      <c r="U377" s="317">
        <f t="shared" si="233"/>
        <v>0</v>
      </c>
      <c r="V377" s="317">
        <f t="shared" si="234"/>
        <v>0</v>
      </c>
      <c r="W377" s="318">
        <f t="shared" si="235"/>
        <v>48.86</v>
      </c>
      <c r="X377" s="828">
        <f t="shared" si="229"/>
        <v>66.6</v>
      </c>
      <c r="Y377" s="829">
        <f t="shared" si="236"/>
        <v>0</v>
      </c>
      <c r="Z377" s="829">
        <f t="shared" si="237"/>
        <v>0</v>
      </c>
      <c r="AA377" s="822">
        <f t="shared" si="238"/>
        <v>0</v>
      </c>
      <c r="AB377" s="620">
        <f t="shared" si="239"/>
        <v>0</v>
      </c>
      <c r="AC377" s="830">
        <f t="shared" si="240"/>
        <v>7791.28</v>
      </c>
      <c r="AD377" s="831">
        <f t="shared" si="241"/>
        <v>9453.61</v>
      </c>
      <c r="AE377" s="813">
        <f t="shared" si="242"/>
        <v>9453.61</v>
      </c>
      <c r="AF377" s="11"/>
      <c r="AG377" s="833"/>
      <c r="AH377" s="833"/>
      <c r="AI377" s="11"/>
    </row>
    <row r="378" spans="1:35" ht="18.75">
      <c r="A378" s="73" t="s">
        <v>12</v>
      </c>
      <c r="B378" s="74">
        <f t="shared" si="223"/>
        <v>80894.42000000022</v>
      </c>
      <c r="C378" s="762">
        <v>44473.1</v>
      </c>
      <c r="D378" s="1177">
        <v>49468.43</v>
      </c>
      <c r="E378" s="74"/>
      <c r="F378" s="74">
        <f t="shared" si="230"/>
        <v>75899.09000000023</v>
      </c>
      <c r="G378" s="308">
        <f t="shared" si="224"/>
        <v>12932</v>
      </c>
      <c r="H378" s="1142">
        <v>517.28</v>
      </c>
      <c r="I378" s="315">
        <v>517.28</v>
      </c>
      <c r="J378" s="306">
        <f t="shared" si="231"/>
        <v>12932</v>
      </c>
      <c r="K378" s="309">
        <f t="shared" si="225"/>
        <v>1508.3999999999987</v>
      </c>
      <c r="L378" s="1170">
        <v>1526.4</v>
      </c>
      <c r="M378" s="475">
        <v>1526.4</v>
      </c>
      <c r="N378" s="302">
        <f t="shared" si="226"/>
        <v>1508.3999999999987</v>
      </c>
      <c r="O378" s="310">
        <f t="shared" si="227"/>
        <v>388.13999999999993</v>
      </c>
      <c r="P378" s="1162">
        <v>64.8</v>
      </c>
      <c r="Q378" s="1165"/>
      <c r="R378" s="1162">
        <v>88.67</v>
      </c>
      <c r="S378" s="291">
        <f t="shared" si="228"/>
        <v>364.2699999999999</v>
      </c>
      <c r="T378" s="316">
        <f t="shared" si="232"/>
        <v>88.67</v>
      </c>
      <c r="U378" s="317">
        <f t="shared" si="233"/>
        <v>1526.4</v>
      </c>
      <c r="V378" s="317">
        <f t="shared" si="234"/>
        <v>517.28</v>
      </c>
      <c r="W378" s="318">
        <f t="shared" si="235"/>
        <v>2132.3500000000004</v>
      </c>
      <c r="X378" s="828">
        <f t="shared" si="229"/>
        <v>496.16</v>
      </c>
      <c r="Y378" s="829">
        <f t="shared" si="236"/>
        <v>4579.200000000001</v>
      </c>
      <c r="Z378" s="829">
        <f t="shared" si="237"/>
        <v>517.28</v>
      </c>
      <c r="AA378" s="822">
        <f t="shared" si="238"/>
        <v>5096.4800000000005</v>
      </c>
      <c r="AB378" s="620">
        <f t="shared" si="239"/>
        <v>5096.4800000000005</v>
      </c>
      <c r="AC378" s="830">
        <f t="shared" si="240"/>
        <v>46581.58</v>
      </c>
      <c r="AD378" s="831">
        <f t="shared" si="241"/>
        <v>51600.78</v>
      </c>
      <c r="AE378" s="813">
        <f t="shared" si="242"/>
        <v>49557.1</v>
      </c>
      <c r="AF378" s="11"/>
      <c r="AG378" s="833"/>
      <c r="AH378" s="833"/>
      <c r="AI378" s="11"/>
    </row>
    <row r="379" spans="1:35" ht="18.75">
      <c r="A379" s="73" t="s">
        <v>13</v>
      </c>
      <c r="B379" s="74">
        <f t="shared" si="223"/>
        <v>56254.84000000004</v>
      </c>
      <c r="C379" s="762">
        <v>26273.16</v>
      </c>
      <c r="D379" s="1177">
        <v>28662.81</v>
      </c>
      <c r="E379" s="74"/>
      <c r="F379" s="74">
        <f t="shared" si="230"/>
        <v>53865.190000000046</v>
      </c>
      <c r="G379" s="308">
        <f t="shared" si="224"/>
        <v>4533.619999999998</v>
      </c>
      <c r="H379" s="1142">
        <v>174.37</v>
      </c>
      <c r="I379" s="315">
        <v>174.37</v>
      </c>
      <c r="J379" s="306">
        <f t="shared" si="231"/>
        <v>4533.619999999998</v>
      </c>
      <c r="K379" s="309">
        <f t="shared" si="225"/>
        <v>-1000</v>
      </c>
      <c r="L379" s="1170">
        <v>645.01</v>
      </c>
      <c r="M379" s="475">
        <v>1935.03</v>
      </c>
      <c r="N379" s="302">
        <f t="shared" si="226"/>
        <v>-2290.02</v>
      </c>
      <c r="O379" s="310">
        <f t="shared" si="227"/>
        <v>268.44000000000017</v>
      </c>
      <c r="P379" s="1162">
        <v>11.26</v>
      </c>
      <c r="Q379" s="1165"/>
      <c r="R379" s="1162">
        <v>79.71</v>
      </c>
      <c r="S379" s="291">
        <f t="shared" si="228"/>
        <v>199.99000000000018</v>
      </c>
      <c r="T379" s="316">
        <f t="shared" si="232"/>
        <v>79.71</v>
      </c>
      <c r="U379" s="317">
        <f t="shared" si="233"/>
        <v>1935.03</v>
      </c>
      <c r="V379" s="317">
        <f t="shared" si="234"/>
        <v>174.37</v>
      </c>
      <c r="W379" s="318">
        <f t="shared" si="235"/>
        <v>2189.11</v>
      </c>
      <c r="X379" s="828">
        <f t="shared" si="229"/>
        <v>220.01999999999998</v>
      </c>
      <c r="Y379" s="829">
        <f t="shared" si="236"/>
        <v>1935.03</v>
      </c>
      <c r="Z379" s="829">
        <f t="shared" si="237"/>
        <v>174.37</v>
      </c>
      <c r="AA379" s="822">
        <f t="shared" si="238"/>
        <v>2109.4</v>
      </c>
      <c r="AB379" s="620">
        <f t="shared" si="239"/>
        <v>2109.4</v>
      </c>
      <c r="AC379" s="830">
        <f t="shared" si="240"/>
        <v>27103.799999999996</v>
      </c>
      <c r="AD379" s="831">
        <f t="shared" si="241"/>
        <v>30851.92</v>
      </c>
      <c r="AE379" s="813">
        <f t="shared" si="242"/>
        <v>28742.52</v>
      </c>
      <c r="AF379" s="11"/>
      <c r="AG379" s="833"/>
      <c r="AH379" s="833"/>
      <c r="AI379" s="11"/>
    </row>
    <row r="380" spans="1:35" ht="18.75">
      <c r="A380" s="73" t="s">
        <v>14</v>
      </c>
      <c r="B380" s="74">
        <f t="shared" si="223"/>
        <v>58709.640000000065</v>
      </c>
      <c r="C380" s="762">
        <v>32415.34</v>
      </c>
      <c r="D380" s="1177">
        <v>33773.3</v>
      </c>
      <c r="E380" s="74"/>
      <c r="F380" s="74">
        <f t="shared" si="230"/>
        <v>57351.680000000066</v>
      </c>
      <c r="G380" s="308">
        <f t="shared" si="224"/>
        <v>5420.839999999997</v>
      </c>
      <c r="H380" s="1119"/>
      <c r="I380" s="315">
        <v>493.96</v>
      </c>
      <c r="J380" s="306">
        <f t="shared" si="231"/>
        <v>4926.879999999997</v>
      </c>
      <c r="K380" s="309">
        <f t="shared" si="225"/>
        <v>5443.989999999998</v>
      </c>
      <c r="L380" s="1170">
        <f>2593.29</f>
        <v>2593.29</v>
      </c>
      <c r="M380" s="475">
        <v>3649.59</v>
      </c>
      <c r="N380" s="302">
        <f t="shared" si="226"/>
        <v>4387.689999999998</v>
      </c>
      <c r="O380" s="310">
        <f t="shared" si="227"/>
        <v>-230.76999999999998</v>
      </c>
      <c r="P380" s="1162">
        <v>3.81</v>
      </c>
      <c r="Q380" s="1165"/>
      <c r="R380" s="1162">
        <v>0</v>
      </c>
      <c r="S380" s="291">
        <f t="shared" si="228"/>
        <v>-226.95999999999998</v>
      </c>
      <c r="T380" s="316">
        <f t="shared" si="232"/>
        <v>0</v>
      </c>
      <c r="U380" s="317">
        <f t="shared" si="233"/>
        <v>3649.59</v>
      </c>
      <c r="V380" s="317">
        <f t="shared" si="234"/>
        <v>493.96</v>
      </c>
      <c r="W380" s="318">
        <f t="shared" si="235"/>
        <v>4143.55</v>
      </c>
      <c r="X380" s="828">
        <f t="shared" si="229"/>
        <v>0</v>
      </c>
      <c r="Y380" s="829">
        <f t="shared" si="236"/>
        <v>8516.58</v>
      </c>
      <c r="Z380" s="829">
        <f t="shared" si="237"/>
        <v>493.96</v>
      </c>
      <c r="AA380" s="822">
        <f t="shared" si="238"/>
        <v>9010.539999999999</v>
      </c>
      <c r="AB380" s="620">
        <f t="shared" si="239"/>
        <v>9010.539999999999</v>
      </c>
      <c r="AC380" s="830">
        <f t="shared" si="240"/>
        <v>35012.439999999995</v>
      </c>
      <c r="AD380" s="831">
        <f t="shared" si="241"/>
        <v>37916.850000000006</v>
      </c>
      <c r="AE380" s="813">
        <f t="shared" si="242"/>
        <v>33773.3</v>
      </c>
      <c r="AF380" s="11"/>
      <c r="AG380" s="833"/>
      <c r="AH380" s="833"/>
      <c r="AI380" s="11"/>
    </row>
    <row r="381" spans="1:35" ht="18.75">
      <c r="A381" s="110" t="s">
        <v>55</v>
      </c>
      <c r="B381" s="74">
        <f t="shared" si="223"/>
        <v>53237.590000000004</v>
      </c>
      <c r="C381" s="762">
        <v>14481.49</v>
      </c>
      <c r="D381" s="1177">
        <v>27046.49</v>
      </c>
      <c r="E381" s="74"/>
      <c r="F381" s="74">
        <f t="shared" si="230"/>
        <v>40672.59</v>
      </c>
      <c r="G381" s="308">
        <f t="shared" si="224"/>
        <v>4637.5</v>
      </c>
      <c r="H381" s="1142">
        <v>185.5</v>
      </c>
      <c r="I381" s="315">
        <v>185.5</v>
      </c>
      <c r="J381" s="306">
        <f t="shared" si="231"/>
        <v>4637.5</v>
      </c>
      <c r="K381" s="309">
        <f t="shared" si="225"/>
        <v>1488.8900000000033</v>
      </c>
      <c r="L381" s="1170">
        <v>685.29</v>
      </c>
      <c r="M381" s="738"/>
      <c r="N381" s="302">
        <f t="shared" si="226"/>
        <v>2174.180000000003</v>
      </c>
      <c r="O381" s="310">
        <f t="shared" si="227"/>
        <v>-44.08999999999999</v>
      </c>
      <c r="P381" s="1162">
        <v>111.55</v>
      </c>
      <c r="Q381" s="1165"/>
      <c r="R381" s="1162">
        <f>64.9+789.17</f>
        <v>854.0699999999999</v>
      </c>
      <c r="S381" s="291">
        <f t="shared" si="228"/>
        <v>-786.6099999999999</v>
      </c>
      <c r="T381" s="316">
        <f t="shared" si="232"/>
        <v>854.0699999999999</v>
      </c>
      <c r="U381" s="317">
        <f t="shared" si="233"/>
        <v>0</v>
      </c>
      <c r="V381" s="317">
        <f t="shared" si="234"/>
        <v>185.5</v>
      </c>
      <c r="W381" s="318">
        <f t="shared" si="235"/>
        <v>1039.57</v>
      </c>
      <c r="X381" s="828">
        <f t="shared" si="229"/>
        <v>854.0699999999999</v>
      </c>
      <c r="Y381" s="829">
        <f t="shared" si="236"/>
        <v>1490.36</v>
      </c>
      <c r="Z381" s="829">
        <f t="shared" si="237"/>
        <v>185.5</v>
      </c>
      <c r="AA381" s="822">
        <f t="shared" si="238"/>
        <v>1675.86</v>
      </c>
      <c r="AB381" s="620">
        <f t="shared" si="239"/>
        <v>1675.86</v>
      </c>
      <c r="AC381" s="830">
        <f t="shared" si="240"/>
        <v>15463.829999999998</v>
      </c>
      <c r="AD381" s="831">
        <f t="shared" si="241"/>
        <v>28086.06</v>
      </c>
      <c r="AE381" s="813">
        <f t="shared" si="242"/>
        <v>27900.56</v>
      </c>
      <c r="AF381" s="11"/>
      <c r="AG381" s="833"/>
      <c r="AH381" s="833"/>
      <c r="AI381" s="11"/>
    </row>
    <row r="382" spans="1:35" ht="18.75">
      <c r="A382" s="73" t="s">
        <v>15</v>
      </c>
      <c r="B382" s="74">
        <f t="shared" si="223"/>
        <v>115238.58000000034</v>
      </c>
      <c r="C382" s="762">
        <v>34705.99</v>
      </c>
      <c r="D382" s="1177">
        <v>42820.98</v>
      </c>
      <c r="E382" s="74"/>
      <c r="F382" s="74">
        <f t="shared" si="230"/>
        <v>107123.59000000032</v>
      </c>
      <c r="G382" s="308">
        <f t="shared" si="224"/>
        <v>0</v>
      </c>
      <c r="H382" s="1119"/>
      <c r="I382" s="315"/>
      <c r="J382" s="306">
        <f t="shared" si="231"/>
        <v>0</v>
      </c>
      <c r="K382" s="309">
        <f t="shared" si="225"/>
        <v>1418.2799999999995</v>
      </c>
      <c r="L382" s="1170">
        <v>1957.82</v>
      </c>
      <c r="M382" s="475">
        <v>4270.5</v>
      </c>
      <c r="N382" s="302">
        <f t="shared" si="226"/>
        <v>-894.4000000000005</v>
      </c>
      <c r="O382" s="310">
        <f t="shared" si="227"/>
        <v>584.0599999999996</v>
      </c>
      <c r="P382" s="1162">
        <v>167.68</v>
      </c>
      <c r="Q382" s="1165"/>
      <c r="R382" s="1162">
        <v>247.78</v>
      </c>
      <c r="S382" s="291">
        <f t="shared" si="228"/>
        <v>503.9599999999996</v>
      </c>
      <c r="T382" s="316">
        <f t="shared" si="232"/>
        <v>247.78</v>
      </c>
      <c r="U382" s="317">
        <f t="shared" si="233"/>
        <v>4270.5</v>
      </c>
      <c r="V382" s="317">
        <f t="shared" si="234"/>
        <v>0</v>
      </c>
      <c r="W382" s="318">
        <f t="shared" si="235"/>
        <v>4518.28</v>
      </c>
      <c r="X382" s="828">
        <f t="shared" si="229"/>
        <v>329.05</v>
      </c>
      <c r="Y382" s="829">
        <f t="shared" si="236"/>
        <v>5334.21</v>
      </c>
      <c r="Z382" s="829">
        <f t="shared" si="237"/>
        <v>0</v>
      </c>
      <c r="AA382" s="822">
        <f t="shared" si="238"/>
        <v>5334.21</v>
      </c>
      <c r="AB382" s="620">
        <f t="shared" si="239"/>
        <v>5334.21</v>
      </c>
      <c r="AC382" s="830">
        <f t="shared" si="240"/>
        <v>36831.49</v>
      </c>
      <c r="AD382" s="831">
        <f t="shared" si="241"/>
        <v>47339.26</v>
      </c>
      <c r="AE382" s="813">
        <f t="shared" si="242"/>
        <v>43068.76</v>
      </c>
      <c r="AF382" s="11"/>
      <c r="AG382" s="833"/>
      <c r="AH382" s="833"/>
      <c r="AI382" s="11"/>
    </row>
    <row r="383" spans="1:35" ht="18.75">
      <c r="A383" s="110" t="s">
        <v>16</v>
      </c>
      <c r="B383" s="74">
        <f t="shared" si="223"/>
        <v>33752.900000000074</v>
      </c>
      <c r="C383" s="762">
        <v>28244.23</v>
      </c>
      <c r="D383" s="1177">
        <v>32897.68</v>
      </c>
      <c r="E383" s="74"/>
      <c r="F383" s="74">
        <f t="shared" si="230"/>
        <v>29099.450000000077</v>
      </c>
      <c r="G383" s="308">
        <f t="shared" si="224"/>
        <v>0</v>
      </c>
      <c r="H383" s="1119"/>
      <c r="I383" s="315"/>
      <c r="J383" s="306">
        <f t="shared" si="231"/>
        <v>0</v>
      </c>
      <c r="K383" s="309">
        <f t="shared" si="225"/>
        <v>2327.760000000002</v>
      </c>
      <c r="L383" s="1170">
        <v>290.97</v>
      </c>
      <c r="M383" s="475">
        <v>1454.8</v>
      </c>
      <c r="N383" s="302">
        <f t="shared" si="226"/>
        <v>1163.9300000000023</v>
      </c>
      <c r="O383" s="310">
        <f t="shared" si="227"/>
        <v>107.16</v>
      </c>
      <c r="P383" s="1162">
        <v>19.12</v>
      </c>
      <c r="Q383" s="1165"/>
      <c r="R383" s="1162">
        <v>47.53</v>
      </c>
      <c r="S383" s="291">
        <f t="shared" si="228"/>
        <v>78.75</v>
      </c>
      <c r="T383" s="316">
        <f t="shared" si="232"/>
        <v>47.53</v>
      </c>
      <c r="U383" s="317">
        <f t="shared" si="233"/>
        <v>1454.8</v>
      </c>
      <c r="V383" s="317">
        <f t="shared" si="234"/>
        <v>0</v>
      </c>
      <c r="W383" s="318">
        <f t="shared" si="235"/>
        <v>1502.33</v>
      </c>
      <c r="X383" s="828">
        <f t="shared" si="229"/>
        <v>84.01</v>
      </c>
      <c r="Y383" s="829">
        <f t="shared" si="236"/>
        <v>1454.8</v>
      </c>
      <c r="Z383" s="829">
        <f t="shared" si="237"/>
        <v>0</v>
      </c>
      <c r="AA383" s="822">
        <f t="shared" si="238"/>
        <v>1454.8</v>
      </c>
      <c r="AB383" s="620">
        <f t="shared" si="239"/>
        <v>1454.8</v>
      </c>
      <c r="AC383" s="830">
        <f t="shared" si="240"/>
        <v>28554.32</v>
      </c>
      <c r="AD383" s="831">
        <f t="shared" si="241"/>
        <v>34400.01</v>
      </c>
      <c r="AE383" s="813">
        <f t="shared" si="242"/>
        <v>32945.21</v>
      </c>
      <c r="AF383" s="11"/>
      <c r="AG383" s="833"/>
      <c r="AH383" s="833"/>
      <c r="AI383" s="11"/>
    </row>
    <row r="384" spans="1:35" ht="18.75">
      <c r="A384" s="73" t="s">
        <v>17</v>
      </c>
      <c r="B384" s="74">
        <f t="shared" si="223"/>
        <v>59508.810000000296</v>
      </c>
      <c r="C384" s="762">
        <v>36774.58</v>
      </c>
      <c r="D384" s="1177">
        <v>43771.04</v>
      </c>
      <c r="E384" s="74"/>
      <c r="F384" s="74">
        <f t="shared" si="230"/>
        <v>52512.350000000304</v>
      </c>
      <c r="G384" s="308">
        <f t="shared" si="224"/>
        <v>9208.750000000004</v>
      </c>
      <c r="H384" s="1142">
        <v>368.35</v>
      </c>
      <c r="I384" s="315">
        <v>368.35</v>
      </c>
      <c r="J384" s="306">
        <f t="shared" si="231"/>
        <v>9208.750000000004</v>
      </c>
      <c r="K384" s="309">
        <f t="shared" si="225"/>
        <v>0</v>
      </c>
      <c r="L384" s="1170">
        <v>619.57</v>
      </c>
      <c r="M384" s="738"/>
      <c r="N384" s="302">
        <f t="shared" si="226"/>
        <v>619.57</v>
      </c>
      <c r="O384" s="310">
        <f t="shared" si="227"/>
        <v>143.51000000000005</v>
      </c>
      <c r="P384" s="1162">
        <v>29.57</v>
      </c>
      <c r="Q384" s="1165"/>
      <c r="R384" s="1162">
        <v>0</v>
      </c>
      <c r="S384" s="291">
        <f t="shared" si="228"/>
        <v>173.08000000000004</v>
      </c>
      <c r="T384" s="316">
        <f t="shared" si="232"/>
        <v>0</v>
      </c>
      <c r="U384" s="317">
        <f t="shared" si="233"/>
        <v>0</v>
      </c>
      <c r="V384" s="317">
        <f t="shared" si="234"/>
        <v>368.35</v>
      </c>
      <c r="W384" s="318">
        <f t="shared" si="235"/>
        <v>368.35</v>
      </c>
      <c r="X384" s="828">
        <f t="shared" si="229"/>
        <v>0</v>
      </c>
      <c r="Y384" s="829">
        <f t="shared" si="236"/>
        <v>1858.71</v>
      </c>
      <c r="Z384" s="829">
        <f t="shared" si="237"/>
        <v>368.35</v>
      </c>
      <c r="AA384" s="822">
        <f t="shared" si="238"/>
        <v>2227.06</v>
      </c>
      <c r="AB384" s="620">
        <f t="shared" si="239"/>
        <v>2227.06</v>
      </c>
      <c r="AC384" s="830">
        <f t="shared" si="240"/>
        <v>37792.07</v>
      </c>
      <c r="AD384" s="831">
        <f t="shared" si="241"/>
        <v>44139.39</v>
      </c>
      <c r="AE384" s="813">
        <f t="shared" si="242"/>
        <v>43771.04</v>
      </c>
      <c r="AF384" s="11"/>
      <c r="AG384" s="833"/>
      <c r="AH384" s="833"/>
      <c r="AI384" s="11"/>
    </row>
    <row r="385" spans="1:35" ht="18.75">
      <c r="A385" s="73" t="s">
        <v>18</v>
      </c>
      <c r="B385" s="74">
        <f t="shared" si="223"/>
        <v>171763.9600000001</v>
      </c>
      <c r="C385" s="762">
        <v>78388.08</v>
      </c>
      <c r="D385" s="1177">
        <v>92350.23</v>
      </c>
      <c r="E385" s="74"/>
      <c r="F385" s="74">
        <f t="shared" si="230"/>
        <v>157801.8100000001</v>
      </c>
      <c r="G385" s="308">
        <f t="shared" si="224"/>
        <v>840.0499999999986</v>
      </c>
      <c r="H385" s="1119"/>
      <c r="I385" s="315">
        <v>347.68</v>
      </c>
      <c r="J385" s="306">
        <f t="shared" si="231"/>
        <v>492.3699999999986</v>
      </c>
      <c r="K385" s="309">
        <f t="shared" si="225"/>
        <v>-686.3499999999999</v>
      </c>
      <c r="L385" s="1170">
        <v>2216.46</v>
      </c>
      <c r="M385" s="475">
        <v>3746.57</v>
      </c>
      <c r="N385" s="302">
        <f t="shared" si="226"/>
        <v>-2216.46</v>
      </c>
      <c r="O385" s="310">
        <f t="shared" si="227"/>
        <v>284.41000000000014</v>
      </c>
      <c r="P385" s="1162">
        <v>187.97</v>
      </c>
      <c r="Q385" s="1165"/>
      <c r="R385" s="1162">
        <v>103.74</v>
      </c>
      <c r="S385" s="291">
        <f t="shared" si="228"/>
        <v>368.6400000000001</v>
      </c>
      <c r="T385" s="316">
        <f t="shared" si="232"/>
        <v>103.74</v>
      </c>
      <c r="U385" s="317">
        <f t="shared" si="233"/>
        <v>3746.57</v>
      </c>
      <c r="V385" s="317">
        <f t="shared" si="234"/>
        <v>347.68</v>
      </c>
      <c r="W385" s="318">
        <f t="shared" si="235"/>
        <v>4197.99</v>
      </c>
      <c r="X385" s="828">
        <f t="shared" si="229"/>
        <v>117.33999999999999</v>
      </c>
      <c r="Y385" s="829">
        <f t="shared" si="236"/>
        <v>9051.34</v>
      </c>
      <c r="Z385" s="829">
        <f t="shared" si="237"/>
        <v>347.68</v>
      </c>
      <c r="AA385" s="822">
        <f t="shared" si="238"/>
        <v>9399.02</v>
      </c>
      <c r="AB385" s="620">
        <f t="shared" si="239"/>
        <v>9399.02</v>
      </c>
      <c r="AC385" s="830">
        <f t="shared" si="240"/>
        <v>80792.51000000001</v>
      </c>
      <c r="AD385" s="831">
        <f t="shared" si="241"/>
        <v>96548.22</v>
      </c>
      <c r="AE385" s="813">
        <f t="shared" si="242"/>
        <v>92453.97</v>
      </c>
      <c r="AF385" s="11"/>
      <c r="AG385" s="833"/>
      <c r="AH385" s="833"/>
      <c r="AI385" s="11"/>
    </row>
    <row r="386" spans="1:35" ht="18.75">
      <c r="A386" s="110" t="s">
        <v>54</v>
      </c>
      <c r="B386" s="74">
        <f t="shared" si="223"/>
        <v>57739.98000000036</v>
      </c>
      <c r="C386" s="762">
        <v>33617.9</v>
      </c>
      <c r="D386" s="1177">
        <v>41595.28</v>
      </c>
      <c r="E386" s="74"/>
      <c r="F386" s="74">
        <f t="shared" si="230"/>
        <v>49762.600000000355</v>
      </c>
      <c r="G386" s="308">
        <f t="shared" si="224"/>
        <v>7447.4400000000005</v>
      </c>
      <c r="H386" s="1142">
        <v>261.82</v>
      </c>
      <c r="I386" s="315">
        <v>442.02</v>
      </c>
      <c r="J386" s="306">
        <f t="shared" si="231"/>
        <v>7267.24</v>
      </c>
      <c r="K386" s="309">
        <f t="shared" si="225"/>
        <v>0</v>
      </c>
      <c r="L386" s="639"/>
      <c r="M386" s="738"/>
      <c r="N386" s="302">
        <f t="shared" si="226"/>
        <v>0</v>
      </c>
      <c r="O386" s="310">
        <f t="shared" si="227"/>
        <v>-1695.4499999999998</v>
      </c>
      <c r="P386" s="1162">
        <v>156.29</v>
      </c>
      <c r="Q386" s="1165"/>
      <c r="R386" s="1162">
        <v>202.39</v>
      </c>
      <c r="S386" s="291">
        <f t="shared" si="228"/>
        <v>-1741.5499999999997</v>
      </c>
      <c r="T386" s="316">
        <f t="shared" si="232"/>
        <v>202.39</v>
      </c>
      <c r="U386" s="317">
        <f t="shared" si="233"/>
        <v>0</v>
      </c>
      <c r="V386" s="317">
        <f t="shared" si="234"/>
        <v>442.02</v>
      </c>
      <c r="W386" s="318">
        <f t="shared" si="235"/>
        <v>644.41</v>
      </c>
      <c r="X386" s="828">
        <f t="shared" si="229"/>
        <v>231.73</v>
      </c>
      <c r="Y386" s="829">
        <f t="shared" si="236"/>
        <v>0</v>
      </c>
      <c r="Z386" s="829">
        <f t="shared" si="237"/>
        <v>442.02</v>
      </c>
      <c r="AA386" s="822">
        <f t="shared" si="238"/>
        <v>442.02</v>
      </c>
      <c r="AB386" s="620">
        <f t="shared" si="239"/>
        <v>442.02</v>
      </c>
      <c r="AC386" s="830">
        <f t="shared" si="240"/>
        <v>34036.01</v>
      </c>
      <c r="AD386" s="831">
        <f t="shared" si="241"/>
        <v>42239.689999999995</v>
      </c>
      <c r="AE386" s="813">
        <f t="shared" si="242"/>
        <v>41797.67</v>
      </c>
      <c r="AF386" s="11"/>
      <c r="AG386" s="833"/>
      <c r="AH386" s="833"/>
      <c r="AI386" s="11"/>
    </row>
    <row r="387" spans="1:35" ht="18.75">
      <c r="A387" s="110" t="s">
        <v>49</v>
      </c>
      <c r="B387" s="74">
        <f t="shared" si="223"/>
        <v>203695.50000000017</v>
      </c>
      <c r="C387" s="762">
        <v>71492.24</v>
      </c>
      <c r="D387" s="1177">
        <v>87555.97</v>
      </c>
      <c r="E387" s="74"/>
      <c r="F387" s="74">
        <f t="shared" si="230"/>
        <v>187631.77000000016</v>
      </c>
      <c r="G387" s="308">
        <f t="shared" si="224"/>
        <v>20431.499999999996</v>
      </c>
      <c r="H387" s="1142">
        <v>817.26</v>
      </c>
      <c r="I387" s="315">
        <v>817.26</v>
      </c>
      <c r="J387" s="306">
        <f t="shared" si="231"/>
        <v>20431.499999999996</v>
      </c>
      <c r="K387" s="309">
        <f t="shared" si="225"/>
        <v>3699.5100000000043</v>
      </c>
      <c r="L387" s="1170">
        <v>3023.65</v>
      </c>
      <c r="M387" s="475">
        <v>3524.33</v>
      </c>
      <c r="N387" s="302">
        <f t="shared" si="226"/>
        <v>3198.8300000000045</v>
      </c>
      <c r="O387" s="310">
        <f t="shared" si="227"/>
        <v>-732.8100000000003</v>
      </c>
      <c r="P387" s="1162">
        <v>244.71</v>
      </c>
      <c r="Q387" s="1165"/>
      <c r="R387" s="1162">
        <v>326.55</v>
      </c>
      <c r="S387" s="291">
        <f t="shared" si="228"/>
        <v>-814.6500000000003</v>
      </c>
      <c r="T387" s="316">
        <f t="shared" si="232"/>
        <v>326.55</v>
      </c>
      <c r="U387" s="317">
        <f t="shared" si="233"/>
        <v>3524.33</v>
      </c>
      <c r="V387" s="317">
        <f t="shared" si="234"/>
        <v>817.26</v>
      </c>
      <c r="W387" s="318">
        <f t="shared" si="235"/>
        <v>4668.14</v>
      </c>
      <c r="X387" s="828">
        <f t="shared" si="229"/>
        <v>347.28000000000003</v>
      </c>
      <c r="Y387" s="829">
        <f t="shared" si="236"/>
        <v>11146.26</v>
      </c>
      <c r="Z387" s="829">
        <f t="shared" si="237"/>
        <v>817.26</v>
      </c>
      <c r="AA387" s="822">
        <f t="shared" si="238"/>
        <v>11963.52</v>
      </c>
      <c r="AB387" s="620">
        <f t="shared" si="239"/>
        <v>11963.52</v>
      </c>
      <c r="AC387" s="830">
        <f t="shared" si="240"/>
        <v>75577.86</v>
      </c>
      <c r="AD387" s="831">
        <f t="shared" si="241"/>
        <v>92224.11</v>
      </c>
      <c r="AE387" s="813">
        <f t="shared" si="242"/>
        <v>87882.52</v>
      </c>
      <c r="AF387" s="11"/>
      <c r="AG387" s="833"/>
      <c r="AH387" s="833"/>
      <c r="AI387" s="11"/>
    </row>
    <row r="388" spans="1:35" ht="18.75">
      <c r="A388" s="73" t="s">
        <v>19</v>
      </c>
      <c r="B388" s="74">
        <f t="shared" si="223"/>
        <v>85913.80999999997</v>
      </c>
      <c r="C388" s="762">
        <v>52752.49</v>
      </c>
      <c r="D388" s="1177">
        <v>57125</v>
      </c>
      <c r="E388" s="74"/>
      <c r="F388" s="74">
        <f t="shared" si="230"/>
        <v>81541.29999999996</v>
      </c>
      <c r="G388" s="308">
        <f t="shared" si="224"/>
        <v>9322.819999999998</v>
      </c>
      <c r="H388" s="1142">
        <v>356.69</v>
      </c>
      <c r="I388" s="315">
        <v>356.69</v>
      </c>
      <c r="J388" s="306">
        <f t="shared" si="231"/>
        <v>9322.819999999998</v>
      </c>
      <c r="K388" s="309">
        <f t="shared" si="225"/>
        <v>1073.0700000000004</v>
      </c>
      <c r="L388" s="1170">
        <v>1041.98</v>
      </c>
      <c r="M388" s="475">
        <v>1648.82</v>
      </c>
      <c r="N388" s="302">
        <f t="shared" si="226"/>
        <v>466.23000000000025</v>
      </c>
      <c r="O388" s="310">
        <f t="shared" si="227"/>
        <v>1433.4000000000005</v>
      </c>
      <c r="P388" s="1162">
        <v>208.11</v>
      </c>
      <c r="Q388" s="1165"/>
      <c r="R388" s="1162">
        <v>300.09</v>
      </c>
      <c r="S388" s="291">
        <f t="shared" si="228"/>
        <v>1341.4200000000008</v>
      </c>
      <c r="T388" s="316">
        <f t="shared" si="232"/>
        <v>300.09</v>
      </c>
      <c r="U388" s="317">
        <f t="shared" si="233"/>
        <v>1648.82</v>
      </c>
      <c r="V388" s="317">
        <f t="shared" si="234"/>
        <v>356.69</v>
      </c>
      <c r="W388" s="318">
        <f t="shared" si="235"/>
        <v>2305.6</v>
      </c>
      <c r="X388" s="828">
        <f t="shared" si="229"/>
        <v>526.79</v>
      </c>
      <c r="Y388" s="829">
        <f t="shared" si="236"/>
        <v>4408.83</v>
      </c>
      <c r="Z388" s="829">
        <f t="shared" si="237"/>
        <v>356.69</v>
      </c>
      <c r="AA388" s="822">
        <f t="shared" si="238"/>
        <v>4765.5199999999995</v>
      </c>
      <c r="AB388" s="620">
        <f t="shared" si="239"/>
        <v>4765.5199999999995</v>
      </c>
      <c r="AC388" s="830">
        <f t="shared" si="240"/>
        <v>54359.270000000004</v>
      </c>
      <c r="AD388" s="831">
        <f t="shared" si="241"/>
        <v>59430.6</v>
      </c>
      <c r="AE388" s="813">
        <f t="shared" si="242"/>
        <v>57425.09</v>
      </c>
      <c r="AF388" s="11"/>
      <c r="AG388" s="833"/>
      <c r="AH388" s="833"/>
      <c r="AI388" s="11"/>
    </row>
    <row r="389" spans="1:35" ht="18.75">
      <c r="A389" s="73" t="s">
        <v>20</v>
      </c>
      <c r="B389" s="74">
        <f t="shared" si="223"/>
        <v>68673.08000000007</v>
      </c>
      <c r="C389" s="762">
        <v>34274.05</v>
      </c>
      <c r="D389" s="1177">
        <v>38300.83</v>
      </c>
      <c r="E389" s="74"/>
      <c r="F389" s="74">
        <f t="shared" si="230"/>
        <v>64646.300000000076</v>
      </c>
      <c r="G389" s="308">
        <f t="shared" si="224"/>
        <v>0</v>
      </c>
      <c r="H389" s="1121"/>
      <c r="I389" s="315"/>
      <c r="J389" s="306">
        <f t="shared" si="231"/>
        <v>0</v>
      </c>
      <c r="K389" s="309">
        <f t="shared" si="225"/>
        <v>4740.57</v>
      </c>
      <c r="L389" s="1171">
        <v>689</v>
      </c>
      <c r="M389" s="475">
        <v>1378</v>
      </c>
      <c r="N389" s="302">
        <f t="shared" si="226"/>
        <v>4051.5699999999997</v>
      </c>
      <c r="O389" s="310">
        <f t="shared" si="227"/>
        <v>138.3899999999999</v>
      </c>
      <c r="P389" s="1162">
        <v>24.87</v>
      </c>
      <c r="Q389" s="1165"/>
      <c r="R389" s="1162">
        <v>25.01</v>
      </c>
      <c r="S389" s="291">
        <f t="shared" si="228"/>
        <v>138.24999999999991</v>
      </c>
      <c r="T389" s="316">
        <f t="shared" si="232"/>
        <v>25.01</v>
      </c>
      <c r="U389" s="317">
        <f t="shared" si="233"/>
        <v>1378</v>
      </c>
      <c r="V389" s="317">
        <f t="shared" si="234"/>
        <v>0</v>
      </c>
      <c r="W389" s="318">
        <f t="shared" si="235"/>
        <v>1403.01</v>
      </c>
      <c r="X389" s="828">
        <f t="shared" si="229"/>
        <v>63.19</v>
      </c>
      <c r="Y389" s="829">
        <f t="shared" si="236"/>
        <v>2756</v>
      </c>
      <c r="Z389" s="829">
        <f t="shared" si="237"/>
        <v>0</v>
      </c>
      <c r="AA389" s="822">
        <f t="shared" si="238"/>
        <v>2756</v>
      </c>
      <c r="AB389" s="620">
        <f t="shared" si="239"/>
        <v>2756</v>
      </c>
      <c r="AC389" s="830">
        <f t="shared" si="240"/>
        <v>34987.920000000006</v>
      </c>
      <c r="AD389" s="831">
        <f t="shared" si="241"/>
        <v>39703.840000000004</v>
      </c>
      <c r="AE389" s="813">
        <f t="shared" si="242"/>
        <v>38325.840000000004</v>
      </c>
      <c r="AF389" s="11"/>
      <c r="AG389" s="833"/>
      <c r="AH389" s="833"/>
      <c r="AI389" s="11"/>
    </row>
    <row r="390" spans="1:35" ht="18.75">
      <c r="A390" s="73" t="s">
        <v>114</v>
      </c>
      <c r="B390" s="74">
        <f t="shared" si="223"/>
        <v>-445180.4500000005</v>
      </c>
      <c r="C390" s="762">
        <v>41833.43</v>
      </c>
      <c r="D390" s="1177">
        <v>47571.26</v>
      </c>
      <c r="E390" s="74"/>
      <c r="F390" s="74">
        <f t="shared" si="230"/>
        <v>-450918.2800000005</v>
      </c>
      <c r="G390" s="308">
        <f t="shared" si="224"/>
        <v>3224.52</v>
      </c>
      <c r="H390" s="1144">
        <v>268.71</v>
      </c>
      <c r="I390" s="315">
        <v>268.71</v>
      </c>
      <c r="J390" s="306">
        <f t="shared" si="231"/>
        <v>3224.52</v>
      </c>
      <c r="K390" s="309">
        <f t="shared" si="225"/>
        <v>700.6300000000001</v>
      </c>
      <c r="L390" s="1172">
        <v>1421.46</v>
      </c>
      <c r="M390" s="475">
        <v>2121.59</v>
      </c>
      <c r="N390" s="302">
        <f t="shared" si="226"/>
        <v>0.5</v>
      </c>
      <c r="O390" s="310">
        <f t="shared" si="227"/>
        <v>-4681.880000000001</v>
      </c>
      <c r="P390" s="1162">
        <v>91.82</v>
      </c>
      <c r="Q390" s="1165"/>
      <c r="R390" s="1162">
        <v>128.52</v>
      </c>
      <c r="S390" s="291">
        <f t="shared" si="228"/>
        <v>-4718.580000000002</v>
      </c>
      <c r="T390" s="316">
        <f t="shared" si="232"/>
        <v>128.52</v>
      </c>
      <c r="U390" s="317">
        <f t="shared" si="233"/>
        <v>2121.59</v>
      </c>
      <c r="V390" s="317">
        <f t="shared" si="234"/>
        <v>268.71</v>
      </c>
      <c r="W390" s="318">
        <f t="shared" si="235"/>
        <v>2518.82</v>
      </c>
      <c r="X390" s="828">
        <f t="shared" si="229"/>
        <v>5055.9000000000015</v>
      </c>
      <c r="Y390" s="829">
        <f t="shared" si="236"/>
        <v>5685.84</v>
      </c>
      <c r="Z390" s="829">
        <f t="shared" si="237"/>
        <v>268.71</v>
      </c>
      <c r="AA390" s="822">
        <f t="shared" si="238"/>
        <v>5954.55</v>
      </c>
      <c r="AB390" s="620">
        <f t="shared" si="239"/>
        <v>5954.55</v>
      </c>
      <c r="AC390" s="830">
        <f t="shared" si="240"/>
        <v>43615.42</v>
      </c>
      <c r="AD390" s="831">
        <f t="shared" si="241"/>
        <v>50090.079999999994</v>
      </c>
      <c r="AE390" s="813">
        <f t="shared" si="242"/>
        <v>47699.78</v>
      </c>
      <c r="AF390" s="11"/>
      <c r="AG390" s="833"/>
      <c r="AH390" s="833"/>
      <c r="AI390" s="11"/>
    </row>
    <row r="391" spans="1:35" ht="18.75">
      <c r="A391" s="73" t="s">
        <v>115</v>
      </c>
      <c r="B391" s="74">
        <f t="shared" si="223"/>
        <v>20966.599999999933</v>
      </c>
      <c r="C391" s="762">
        <v>14903.07</v>
      </c>
      <c r="D391" s="1177">
        <v>15605.29</v>
      </c>
      <c r="E391" s="74"/>
      <c r="F391" s="74">
        <f t="shared" si="230"/>
        <v>20264.379999999932</v>
      </c>
      <c r="G391" s="308">
        <f t="shared" si="224"/>
        <v>0</v>
      </c>
      <c r="H391" s="1122"/>
      <c r="I391" s="315"/>
      <c r="J391" s="306">
        <f t="shared" si="231"/>
        <v>0</v>
      </c>
      <c r="K391" s="309">
        <f t="shared" si="225"/>
        <v>0</v>
      </c>
      <c r="L391" s="1147"/>
      <c r="M391" s="738"/>
      <c r="N391" s="302">
        <f t="shared" si="226"/>
        <v>0</v>
      </c>
      <c r="O391" s="310">
        <f t="shared" si="227"/>
        <v>80.68</v>
      </c>
      <c r="P391" s="1162">
        <v>28.46</v>
      </c>
      <c r="Q391" s="1165"/>
      <c r="R391" s="1162">
        <v>75.13</v>
      </c>
      <c r="S391" s="291">
        <f t="shared" si="228"/>
        <v>34.01000000000002</v>
      </c>
      <c r="T391" s="316">
        <f t="shared" si="232"/>
        <v>75.13</v>
      </c>
      <c r="U391" s="317">
        <f t="shared" si="233"/>
        <v>0</v>
      </c>
      <c r="V391" s="317">
        <f t="shared" si="234"/>
        <v>0</v>
      </c>
      <c r="W391" s="318">
        <f t="shared" si="235"/>
        <v>75.13</v>
      </c>
      <c r="X391" s="828">
        <f t="shared" si="229"/>
        <v>121.97999999999999</v>
      </c>
      <c r="Y391" s="829">
        <f t="shared" si="236"/>
        <v>0</v>
      </c>
      <c r="Z391" s="829">
        <f t="shared" si="237"/>
        <v>0</v>
      </c>
      <c r="AA391" s="822">
        <f t="shared" si="238"/>
        <v>0</v>
      </c>
      <c r="AB391" s="620">
        <f t="shared" si="239"/>
        <v>0</v>
      </c>
      <c r="AC391" s="830">
        <f t="shared" si="240"/>
        <v>14931.529999999999</v>
      </c>
      <c r="AD391" s="831">
        <f t="shared" si="241"/>
        <v>15680.42</v>
      </c>
      <c r="AE391" s="813">
        <f t="shared" si="242"/>
        <v>15680.42</v>
      </c>
      <c r="AF391" s="11"/>
      <c r="AG391" s="833"/>
      <c r="AH391" s="833"/>
      <c r="AI391" s="11"/>
    </row>
    <row r="392" spans="1:35" ht="18.75">
      <c r="A392" s="708" t="s">
        <v>188</v>
      </c>
      <c r="B392" s="74">
        <f t="shared" si="223"/>
        <v>18517.429999999935</v>
      </c>
      <c r="C392" s="762">
        <v>39551.25</v>
      </c>
      <c r="D392" s="1178">
        <v>45854.7</v>
      </c>
      <c r="E392" s="74"/>
      <c r="F392" s="74">
        <f t="shared" si="230"/>
        <v>12213.979999999938</v>
      </c>
      <c r="G392" s="308">
        <f t="shared" si="224"/>
        <v>6437.910000000001</v>
      </c>
      <c r="H392" s="1145">
        <v>338.67</v>
      </c>
      <c r="I392" s="258"/>
      <c r="J392" s="306">
        <f t="shared" si="231"/>
        <v>6776.580000000001</v>
      </c>
      <c r="K392" s="309">
        <f t="shared" si="225"/>
        <v>-30620.039999999997</v>
      </c>
      <c r="L392" s="1173">
        <f>666.74+435.13+359.87</f>
        <v>1461.7399999999998</v>
      </c>
      <c r="M392" s="639">
        <v>2370.26</v>
      </c>
      <c r="N392" s="302">
        <f t="shared" si="226"/>
        <v>-31528.559999999998</v>
      </c>
      <c r="O392" s="310">
        <f t="shared" si="227"/>
        <v>-16535.780000000006</v>
      </c>
      <c r="P392" s="1162">
        <v>108.35</v>
      </c>
      <c r="Q392" s="1163"/>
      <c r="R392" s="1163">
        <v>108.71</v>
      </c>
      <c r="S392" s="291">
        <f t="shared" si="228"/>
        <v>-16536.140000000007</v>
      </c>
      <c r="T392" s="316">
        <f t="shared" si="232"/>
        <v>108.71</v>
      </c>
      <c r="U392" s="317">
        <f t="shared" si="233"/>
        <v>2370.26</v>
      </c>
      <c r="V392" s="317">
        <f t="shared" si="234"/>
        <v>0</v>
      </c>
      <c r="W392" s="318">
        <f t="shared" si="235"/>
        <v>2478.9700000000003</v>
      </c>
      <c r="X392" s="828">
        <f t="shared" si="229"/>
        <v>189.91</v>
      </c>
      <c r="Y392" s="829">
        <f t="shared" si="236"/>
        <v>10827.67</v>
      </c>
      <c r="Z392" s="829">
        <f t="shared" si="237"/>
        <v>0</v>
      </c>
      <c r="AA392" s="822">
        <f t="shared" si="238"/>
        <v>10827.67</v>
      </c>
      <c r="AB392" s="620">
        <f t="shared" si="239"/>
        <v>10827.67</v>
      </c>
      <c r="AC392" s="830">
        <f t="shared" si="240"/>
        <v>41460.009999999995</v>
      </c>
      <c r="AD392" s="831">
        <f t="shared" si="241"/>
        <v>48333.67</v>
      </c>
      <c r="AE392" s="813">
        <f t="shared" si="242"/>
        <v>45963.409999999996</v>
      </c>
      <c r="AF392" s="11"/>
      <c r="AG392" s="833"/>
      <c r="AH392" s="833"/>
      <c r="AI392" s="11"/>
    </row>
    <row r="393" spans="1:35" ht="18.75">
      <c r="A393" s="709" t="s">
        <v>189</v>
      </c>
      <c r="B393" s="74">
        <f t="shared" si="223"/>
        <v>94837.88</v>
      </c>
      <c r="C393" s="762">
        <v>45908.6</v>
      </c>
      <c r="D393" s="1178">
        <v>58872.89</v>
      </c>
      <c r="E393" s="74"/>
      <c r="F393" s="74">
        <f t="shared" si="230"/>
        <v>81873.59000000001</v>
      </c>
      <c r="G393" s="308">
        <f t="shared" si="224"/>
        <v>31903.880000000005</v>
      </c>
      <c r="H393" s="1145">
        <v>1885.74</v>
      </c>
      <c r="I393" s="258"/>
      <c r="J393" s="306">
        <f t="shared" si="231"/>
        <v>33789.62</v>
      </c>
      <c r="K393" s="309">
        <f t="shared" si="225"/>
        <v>-12755.319999999994</v>
      </c>
      <c r="L393" s="1173">
        <f>701.19+2095.62</f>
        <v>2796.81</v>
      </c>
      <c r="M393" s="481">
        <v>4199.19</v>
      </c>
      <c r="N393" s="302">
        <f t="shared" si="226"/>
        <v>-14157.699999999993</v>
      </c>
      <c r="O393" s="310">
        <f t="shared" si="227"/>
        <v>-69979.2</v>
      </c>
      <c r="P393" s="1162">
        <v>59.64</v>
      </c>
      <c r="Q393" s="1163"/>
      <c r="R393" s="1163">
        <f>79.88+718.22</f>
        <v>798.1</v>
      </c>
      <c r="S393" s="291">
        <f t="shared" si="228"/>
        <v>-70717.66</v>
      </c>
      <c r="T393" s="316">
        <f t="shared" si="232"/>
        <v>798.1</v>
      </c>
      <c r="U393" s="317">
        <f t="shared" si="233"/>
        <v>4199.19</v>
      </c>
      <c r="V393" s="317">
        <f t="shared" si="234"/>
        <v>0</v>
      </c>
      <c r="W393" s="318">
        <f t="shared" si="235"/>
        <v>4997.29</v>
      </c>
      <c r="X393" s="828">
        <f t="shared" si="229"/>
        <v>1410.91</v>
      </c>
      <c r="Y393" s="829">
        <f t="shared" si="236"/>
        <v>4900.379999999999</v>
      </c>
      <c r="Z393" s="829">
        <f t="shared" si="237"/>
        <v>0</v>
      </c>
      <c r="AA393" s="822">
        <f t="shared" si="238"/>
        <v>4900.379999999999</v>
      </c>
      <c r="AB393" s="620">
        <f t="shared" si="239"/>
        <v>4900.379999999999</v>
      </c>
      <c r="AC393" s="830">
        <f t="shared" si="240"/>
        <v>50650.78999999999</v>
      </c>
      <c r="AD393" s="831">
        <f t="shared" si="241"/>
        <v>63870.18</v>
      </c>
      <c r="AE393" s="813">
        <f t="shared" si="242"/>
        <v>59670.99</v>
      </c>
      <c r="AF393" s="11"/>
      <c r="AG393" s="833"/>
      <c r="AH393" s="833"/>
      <c r="AI393" s="11"/>
    </row>
    <row r="394" spans="1:35" ht="18.75">
      <c r="A394" s="709" t="s">
        <v>218</v>
      </c>
      <c r="B394" s="74">
        <f t="shared" si="223"/>
        <v>108012.33000000002</v>
      </c>
      <c r="C394" s="762">
        <v>42325.8</v>
      </c>
      <c r="D394" s="1178">
        <v>45852.99</v>
      </c>
      <c r="E394" s="74"/>
      <c r="F394" s="74">
        <f t="shared" si="230"/>
        <v>104485.14000000001</v>
      </c>
      <c r="G394" s="308">
        <f t="shared" si="224"/>
        <v>0</v>
      </c>
      <c r="H394" s="1125">
        <v>0</v>
      </c>
      <c r="I394" s="258"/>
      <c r="J394" s="306">
        <f t="shared" si="231"/>
        <v>0</v>
      </c>
      <c r="K394" s="309">
        <f t="shared" si="225"/>
        <v>-62945.81</v>
      </c>
      <c r="L394" s="1173">
        <v>642.36</v>
      </c>
      <c r="M394" s="481">
        <v>642.36</v>
      </c>
      <c r="N394" s="302">
        <f t="shared" si="226"/>
        <v>-62945.81</v>
      </c>
      <c r="O394" s="310">
        <f t="shared" si="227"/>
        <v>-76990.70000000003</v>
      </c>
      <c r="P394" s="1162">
        <v>127.69</v>
      </c>
      <c r="Q394" s="1163"/>
      <c r="R394" s="1163">
        <v>504.7</v>
      </c>
      <c r="S394" s="291">
        <f t="shared" si="228"/>
        <v>-77367.71000000002</v>
      </c>
      <c r="T394" s="316">
        <f t="shared" si="232"/>
        <v>504.7</v>
      </c>
      <c r="U394" s="317">
        <f t="shared" si="233"/>
        <v>642.36</v>
      </c>
      <c r="V394" s="317">
        <f t="shared" si="234"/>
        <v>0</v>
      </c>
      <c r="W394" s="318">
        <f t="shared" si="235"/>
        <v>1147.06</v>
      </c>
      <c r="X394" s="828">
        <f t="shared" si="229"/>
        <v>4650.86</v>
      </c>
      <c r="Y394" s="829">
        <v>0</v>
      </c>
      <c r="Z394" s="829">
        <f t="shared" si="237"/>
        <v>0</v>
      </c>
      <c r="AA394" s="822">
        <v>0</v>
      </c>
      <c r="AB394" s="620">
        <f>Y394+Z394</f>
        <v>0</v>
      </c>
      <c r="AC394" s="830">
        <f t="shared" si="240"/>
        <v>43095.850000000006</v>
      </c>
      <c r="AD394" s="831">
        <f t="shared" si="241"/>
        <v>47000.049999999996</v>
      </c>
      <c r="AE394" s="813">
        <f t="shared" si="242"/>
        <v>46357.689999999995</v>
      </c>
      <c r="AF394" s="550"/>
      <c r="AG394" s="878"/>
      <c r="AH394" s="878"/>
      <c r="AI394" s="550"/>
    </row>
    <row r="395" spans="1:35" ht="18.75">
      <c r="A395" s="709" t="s">
        <v>238</v>
      </c>
      <c r="B395" s="74">
        <f t="shared" si="223"/>
        <v>63738.31000000001</v>
      </c>
      <c r="C395" s="762">
        <v>15747.89</v>
      </c>
      <c r="D395" s="1178">
        <v>16597.7</v>
      </c>
      <c r="E395" s="74"/>
      <c r="F395" s="74">
        <f t="shared" si="230"/>
        <v>62888.500000000015</v>
      </c>
      <c r="G395" s="308">
        <f t="shared" si="224"/>
        <v>0</v>
      </c>
      <c r="H395" s="1125">
        <v>0</v>
      </c>
      <c r="I395" s="258"/>
      <c r="J395" s="306">
        <f t="shared" si="231"/>
        <v>0</v>
      </c>
      <c r="K395" s="309">
        <f t="shared" si="225"/>
        <v>0</v>
      </c>
      <c r="L395" s="1147">
        <v>0</v>
      </c>
      <c r="M395" s="910"/>
      <c r="N395" s="302">
        <f t="shared" si="226"/>
        <v>0</v>
      </c>
      <c r="O395" s="310">
        <f t="shared" si="227"/>
        <v>4361.269999999999</v>
      </c>
      <c r="P395" s="1162">
        <v>234.74</v>
      </c>
      <c r="Q395" s="1163"/>
      <c r="R395" s="1163">
        <f>230.48+470.59</f>
        <v>701.0699999999999</v>
      </c>
      <c r="S395" s="291">
        <f t="shared" si="228"/>
        <v>3894.9399999999987</v>
      </c>
      <c r="T395" s="316">
        <f t="shared" si="232"/>
        <v>701.0699999999999</v>
      </c>
      <c r="U395" s="317">
        <f t="shared" si="233"/>
        <v>0</v>
      </c>
      <c r="V395" s="317">
        <f t="shared" si="234"/>
        <v>0</v>
      </c>
      <c r="W395" s="318">
        <f t="shared" si="235"/>
        <v>701.0699999999999</v>
      </c>
      <c r="X395" s="828">
        <f t="shared" si="229"/>
        <v>6437.91</v>
      </c>
      <c r="Y395" s="829">
        <f t="shared" si="236"/>
        <v>0</v>
      </c>
      <c r="Z395" s="829">
        <f t="shared" si="237"/>
        <v>0</v>
      </c>
      <c r="AA395" s="822">
        <f t="shared" si="238"/>
        <v>0</v>
      </c>
      <c r="AB395" s="620">
        <f t="shared" si="239"/>
        <v>0</v>
      </c>
      <c r="AC395" s="830">
        <f t="shared" si="240"/>
        <v>15982.63</v>
      </c>
      <c r="AD395" s="831">
        <f t="shared" si="241"/>
        <v>17298.77</v>
      </c>
      <c r="AE395" s="813">
        <f t="shared" si="242"/>
        <v>17298.77</v>
      </c>
      <c r="AF395" s="550"/>
      <c r="AG395" s="878"/>
      <c r="AH395" s="878"/>
      <c r="AI395" s="550"/>
    </row>
    <row r="396" spans="1:35" ht="18.75">
      <c r="A396" s="709" t="s">
        <v>304</v>
      </c>
      <c r="B396" s="74">
        <f t="shared" si="223"/>
        <v>403018.79999999976</v>
      </c>
      <c r="C396" s="762">
        <v>55434.82</v>
      </c>
      <c r="D396" s="1178">
        <v>85702.37</v>
      </c>
      <c r="E396" s="74"/>
      <c r="F396" s="74">
        <f t="shared" si="230"/>
        <v>372751.24999999977</v>
      </c>
      <c r="G396" s="308">
        <f t="shared" si="224"/>
        <v>0</v>
      </c>
      <c r="H396" s="1126">
        <v>0</v>
      </c>
      <c r="I396" s="258"/>
      <c r="J396" s="306">
        <f t="shared" si="231"/>
        <v>0</v>
      </c>
      <c r="K396" s="309">
        <f t="shared" si="225"/>
        <v>27991.04</v>
      </c>
      <c r="L396" s="1174">
        <v>1674.27</v>
      </c>
      <c r="M396" s="481">
        <v>2333.01</v>
      </c>
      <c r="N396" s="302">
        <f t="shared" si="226"/>
        <v>27332.300000000003</v>
      </c>
      <c r="O396" s="310">
        <f t="shared" si="227"/>
        <v>-23876.29</v>
      </c>
      <c r="P396" s="1162">
        <v>332.94</v>
      </c>
      <c r="Q396" s="1163"/>
      <c r="R396" s="1163">
        <f>283.88+13537.56</f>
        <v>13821.439999999999</v>
      </c>
      <c r="S396" s="291">
        <f t="shared" si="228"/>
        <v>-37364.79</v>
      </c>
      <c r="T396" s="316">
        <f t="shared" si="232"/>
        <v>13821.439999999999</v>
      </c>
      <c r="U396" s="317">
        <f t="shared" si="233"/>
        <v>2333.01</v>
      </c>
      <c r="V396" s="317">
        <f t="shared" si="234"/>
        <v>0</v>
      </c>
      <c r="W396" s="318">
        <f t="shared" si="235"/>
        <v>16154.449999999999</v>
      </c>
      <c r="X396" s="828">
        <f t="shared" si="229"/>
        <v>35889.51</v>
      </c>
      <c r="Y396" s="829">
        <f t="shared" si="236"/>
        <v>5681.55</v>
      </c>
      <c r="Z396" s="829">
        <f t="shared" si="237"/>
        <v>0</v>
      </c>
      <c r="AA396" s="822">
        <f t="shared" si="238"/>
        <v>5681.55</v>
      </c>
      <c r="AB396" s="620">
        <f t="shared" si="239"/>
        <v>5681.55</v>
      </c>
      <c r="AC396" s="830">
        <f t="shared" si="240"/>
        <v>57442.03</v>
      </c>
      <c r="AD396" s="831">
        <f t="shared" si="241"/>
        <v>101856.81999999999</v>
      </c>
      <c r="AE396" s="813">
        <f t="shared" si="242"/>
        <v>99523.81</v>
      </c>
      <c r="AF396" s="550"/>
      <c r="AG396" s="878"/>
      <c r="AH396" s="878"/>
      <c r="AI396" s="550"/>
    </row>
    <row r="397" spans="1:35" ht="19.5" thickBot="1">
      <c r="A397" s="709" t="s">
        <v>317</v>
      </c>
      <c r="B397" s="74">
        <f t="shared" si="223"/>
        <v>848733.7499999999</v>
      </c>
      <c r="C397" s="762">
        <v>56710</v>
      </c>
      <c r="D397" s="1178">
        <v>214975.52</v>
      </c>
      <c r="E397" s="74"/>
      <c r="F397" s="74">
        <f t="shared" si="230"/>
        <v>690468.2299999999</v>
      </c>
      <c r="G397" s="308">
        <f t="shared" si="224"/>
        <v>0</v>
      </c>
      <c r="H397" s="1127">
        <v>0</v>
      </c>
      <c r="I397" s="258"/>
      <c r="J397" s="306">
        <f t="shared" si="231"/>
        <v>0</v>
      </c>
      <c r="K397" s="309">
        <f t="shared" si="225"/>
        <v>8001.57</v>
      </c>
      <c r="L397" s="1170">
        <v>5536.91</v>
      </c>
      <c r="M397" s="481">
        <v>10127.64</v>
      </c>
      <c r="N397" s="302">
        <f t="shared" si="226"/>
        <v>3410.84</v>
      </c>
      <c r="O397" s="310">
        <f t="shared" si="227"/>
        <v>0</v>
      </c>
      <c r="P397" s="1162">
        <v>26.96</v>
      </c>
      <c r="Q397" s="1163"/>
      <c r="R397" s="1163">
        <f>21.31+30089.82</f>
        <v>30111.13</v>
      </c>
      <c r="S397" s="291">
        <f t="shared" si="228"/>
        <v>-30084.170000000002</v>
      </c>
      <c r="T397" s="316">
        <f t="shared" si="232"/>
        <v>30111.13</v>
      </c>
      <c r="U397" s="317">
        <f t="shared" si="233"/>
        <v>10127.64</v>
      </c>
      <c r="V397" s="317">
        <f t="shared" si="234"/>
        <v>0</v>
      </c>
      <c r="W397" s="318">
        <f t="shared" si="235"/>
        <v>40238.770000000004</v>
      </c>
      <c r="X397" s="1180">
        <f t="shared" si="229"/>
        <v>30115.41</v>
      </c>
      <c r="Y397" s="829">
        <f>U334+U365+U397</f>
        <v>21201.46</v>
      </c>
      <c r="Z397" s="1181">
        <f t="shared" si="237"/>
        <v>0</v>
      </c>
      <c r="AA397" s="1182">
        <f t="shared" si="238"/>
        <v>21201.46</v>
      </c>
      <c r="AB397" s="620">
        <f t="shared" si="239"/>
        <v>21201.46</v>
      </c>
      <c r="AC397" s="830">
        <f t="shared" si="240"/>
        <v>62273.87</v>
      </c>
      <c r="AD397" s="831">
        <f t="shared" si="241"/>
        <v>255214.28999999998</v>
      </c>
      <c r="AE397" s="813">
        <f t="shared" si="242"/>
        <v>245086.65</v>
      </c>
      <c r="AF397" s="550"/>
      <c r="AG397" s="878"/>
      <c r="AH397" s="878"/>
      <c r="AI397" s="550"/>
    </row>
    <row r="398" spans="1:35" ht="19.5" thickBot="1">
      <c r="A398" s="1521" t="s">
        <v>21</v>
      </c>
      <c r="B398" s="1522">
        <f>SUM(B371:B397)</f>
        <v>2984938.730000002</v>
      </c>
      <c r="C398" s="1522">
        <f>SUM(C371:C397)</f>
        <v>949317.67</v>
      </c>
      <c r="D398" s="1522">
        <f>SUM(D371:D397)</f>
        <v>1306953.0299999998</v>
      </c>
      <c r="E398" s="1522"/>
      <c r="F398" s="1522">
        <f>SUM(F371:F397)</f>
        <v>2627303.3700000015</v>
      </c>
      <c r="G398" s="1523">
        <f>SUM(G371:G397)</f>
        <v>238062.60999999996</v>
      </c>
      <c r="H398" s="1318">
        <f>SUM(H371:H397)</f>
        <v>9445.42</v>
      </c>
      <c r="I398" s="1524">
        <f>SUM(I371:I397)</f>
        <v>10517.02</v>
      </c>
      <c r="J398" s="1322">
        <f>SUM(J371:J397)</f>
        <v>236991.00999999995</v>
      </c>
      <c r="K398" s="1525">
        <f>N358</f>
        <v>700.6300000000001</v>
      </c>
      <c r="L398" s="1526">
        <f>SUM(L371:L397)</f>
        <v>35111.380000000005</v>
      </c>
      <c r="M398" s="1317">
        <f>SUM(M371:M397)</f>
        <v>51897.58</v>
      </c>
      <c r="N398" s="475">
        <f>SUM(N371:N397)</f>
        <v>-79159.67999999998</v>
      </c>
      <c r="O398" s="307">
        <f>SUM(O371:O397)</f>
        <v>-193239.98000000004</v>
      </c>
      <c r="P398" s="1527">
        <f>SUM(P371:P397)</f>
        <v>3126.22</v>
      </c>
      <c r="Q398" s="1528"/>
      <c r="R398" s="1527">
        <f>SUM(R371:R397)</f>
        <v>49860.82</v>
      </c>
      <c r="S398" s="1529">
        <f t="shared" si="228"/>
        <v>-239974.58000000005</v>
      </c>
      <c r="T398" s="1530">
        <f aca="true" t="shared" si="243" ref="T398:AE398">SUM(T371:T397)</f>
        <v>49860.82</v>
      </c>
      <c r="U398" s="1530">
        <f t="shared" si="243"/>
        <v>51897.58</v>
      </c>
      <c r="V398" s="1530">
        <f t="shared" si="243"/>
        <v>10517.02</v>
      </c>
      <c r="W398" s="1531">
        <f t="shared" si="243"/>
        <v>112275.42</v>
      </c>
      <c r="X398" s="1532">
        <f t="shared" si="243"/>
        <v>91885.33</v>
      </c>
      <c r="Y398" s="1532">
        <f t="shared" si="243"/>
        <v>126712.29000000001</v>
      </c>
      <c r="Z398" s="1533">
        <f t="shared" si="243"/>
        <v>10517.02</v>
      </c>
      <c r="AA398" s="1533">
        <f t="shared" si="243"/>
        <v>137229.31000000003</v>
      </c>
      <c r="AB398" s="1534">
        <f t="shared" si="243"/>
        <v>137229.31000000003</v>
      </c>
      <c r="AC398" s="1535">
        <f t="shared" si="243"/>
        <v>997000.6900000003</v>
      </c>
      <c r="AD398" s="1234">
        <f t="shared" si="243"/>
        <v>1419228.4500000002</v>
      </c>
      <c r="AE398" s="1535">
        <f t="shared" si="243"/>
        <v>1356813.8499999999</v>
      </c>
      <c r="AF398" s="550"/>
      <c r="AG398" s="550"/>
      <c r="AH398" s="550"/>
      <c r="AI398" s="550"/>
    </row>
    <row r="399" spans="4:35" ht="18.75">
      <c r="D399" s="9"/>
      <c r="E399" s="75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75"/>
      <c r="R399" s="820"/>
      <c r="T399" s="821"/>
      <c r="W399" s="1179"/>
      <c r="AF399" s="550"/>
      <c r="AG399" s="550"/>
      <c r="AH399" s="550"/>
      <c r="AI399" s="550"/>
    </row>
    <row r="400" spans="23:35" ht="15">
      <c r="W400" s="2"/>
      <c r="AF400" s="11"/>
      <c r="AG400" s="11"/>
      <c r="AH400" s="11"/>
      <c r="AI400" s="11"/>
    </row>
    <row r="401" spans="32:35" ht="15">
      <c r="AF401" s="11"/>
      <c r="AG401" s="11"/>
      <c r="AH401" s="11"/>
      <c r="AI401" s="11"/>
    </row>
    <row r="403" ht="15" customHeight="1"/>
    <row r="428" ht="18" customHeight="1"/>
  </sheetData>
  <sheetProtection/>
  <mergeCells count="84">
    <mergeCell ref="AG369:AH369"/>
    <mergeCell ref="AB336:AD336"/>
    <mergeCell ref="AB153:AD153"/>
    <mergeCell ref="H369:J369"/>
    <mergeCell ref="L337:N337"/>
    <mergeCell ref="L273:N273"/>
    <mergeCell ref="L306:N306"/>
    <mergeCell ref="H181:J181"/>
    <mergeCell ref="AB241:AD241"/>
    <mergeCell ref="H337:J337"/>
    <mergeCell ref="H273:J273"/>
    <mergeCell ref="B94:B95"/>
    <mergeCell ref="B369:B370"/>
    <mergeCell ref="H306:J306"/>
    <mergeCell ref="B273:B274"/>
    <mergeCell ref="C369:F369"/>
    <mergeCell ref="C242:F242"/>
    <mergeCell ref="C306:F306"/>
    <mergeCell ref="C273:F273"/>
    <mergeCell ref="B306:B307"/>
    <mergeCell ref="C337:F337"/>
    <mergeCell ref="B65:B66"/>
    <mergeCell ref="C65:F65"/>
    <mergeCell ref="B337:B338"/>
    <mergeCell ref="B211:B212"/>
    <mergeCell ref="B242:B243"/>
    <mergeCell ref="P36:S36"/>
    <mergeCell ref="L36:N36"/>
    <mergeCell ref="K65:M65"/>
    <mergeCell ref="A4:A5"/>
    <mergeCell ref="B4:B5"/>
    <mergeCell ref="C4:F4"/>
    <mergeCell ref="H4:J4"/>
    <mergeCell ref="B36:B37"/>
    <mergeCell ref="C36:F36"/>
    <mergeCell ref="U4:W4"/>
    <mergeCell ref="L4:N4"/>
    <mergeCell ref="P4:S4"/>
    <mergeCell ref="G65:I65"/>
    <mergeCell ref="P65:S65"/>
    <mergeCell ref="P152:S152"/>
    <mergeCell ref="H36:J36"/>
    <mergeCell ref="G123:I123"/>
    <mergeCell ref="K123:M123"/>
    <mergeCell ref="G94:I94"/>
    <mergeCell ref="P273:S273"/>
    <mergeCell ref="P211:S211"/>
    <mergeCell ref="C94:F94"/>
    <mergeCell ref="C123:F123"/>
    <mergeCell ref="B123:B124"/>
    <mergeCell ref="T152:W152"/>
    <mergeCell ref="B152:B153"/>
    <mergeCell ref="C152:F152"/>
    <mergeCell ref="P94:S94"/>
    <mergeCell ref="K94:M94"/>
    <mergeCell ref="T273:W273"/>
    <mergeCell ref="X94:AA94"/>
    <mergeCell ref="T181:W181"/>
    <mergeCell ref="L181:N181"/>
    <mergeCell ref="AB242:AD242"/>
    <mergeCell ref="P337:S337"/>
    <mergeCell ref="T211:W211"/>
    <mergeCell ref="L242:N242"/>
    <mergeCell ref="P306:S306"/>
    <mergeCell ref="P242:S242"/>
    <mergeCell ref="L211:N211"/>
    <mergeCell ref="AC66:AE66"/>
    <mergeCell ref="C181:F181"/>
    <mergeCell ref="X181:AA181"/>
    <mergeCell ref="H242:J242"/>
    <mergeCell ref="C211:F211"/>
    <mergeCell ref="H152:J152"/>
    <mergeCell ref="P123:S123"/>
    <mergeCell ref="H211:J211"/>
    <mergeCell ref="X273:Z273"/>
    <mergeCell ref="L152:N152"/>
    <mergeCell ref="AB337:AC337"/>
    <mergeCell ref="X369:AA369"/>
    <mergeCell ref="T242:W242"/>
    <mergeCell ref="T306:W306"/>
    <mergeCell ref="T337:W337"/>
    <mergeCell ref="T369:W369"/>
    <mergeCell ref="L369:N369"/>
    <mergeCell ref="P369:S369"/>
  </mergeCells>
  <printOptions/>
  <pageMargins left="0.11811023622047245" right="0.11811023622047245" top="0" bottom="0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15"/>
  <sheetViews>
    <sheetView zoomScale="78" zoomScaleNormal="78" zoomScalePageLayoutView="0" workbookViewId="0" topLeftCell="A46">
      <selection activeCell="D24" sqref="D24"/>
    </sheetView>
  </sheetViews>
  <sheetFormatPr defaultColWidth="9.140625" defaultRowHeight="15"/>
  <cols>
    <col min="1" max="1" width="17.28125" style="0" customWidth="1"/>
    <col min="2" max="2" width="13.57421875" style="0" customWidth="1"/>
    <col min="3" max="3" width="13.28125" style="0" customWidth="1"/>
    <col min="4" max="4" width="13.7109375" style="0" customWidth="1"/>
    <col min="5" max="5" width="13.421875" style="0" customWidth="1"/>
    <col min="6" max="6" width="13.57421875" style="0" customWidth="1"/>
    <col min="7" max="7" width="13.7109375" style="0" customWidth="1"/>
    <col min="8" max="8" width="13.28125" style="0" customWidth="1"/>
    <col min="9" max="9" width="13.140625" style="0" customWidth="1"/>
    <col min="10" max="10" width="13.57421875" style="0" customWidth="1"/>
    <col min="11" max="11" width="12.7109375" style="0" customWidth="1"/>
    <col min="12" max="12" width="13.421875" style="0" customWidth="1"/>
    <col min="13" max="14" width="12.57421875" style="0" customWidth="1"/>
    <col min="15" max="15" width="14.00390625" style="0" customWidth="1"/>
    <col min="16" max="16" width="12.57421875" style="0" customWidth="1"/>
    <col min="17" max="17" width="13.7109375" style="0" customWidth="1"/>
    <col min="18" max="18" width="13.28125" style="0" customWidth="1"/>
    <col min="19" max="19" width="17.00390625" style="0" customWidth="1"/>
    <col min="20" max="20" width="16.140625" style="0" customWidth="1"/>
    <col min="21" max="21" width="17.00390625" style="0" customWidth="1"/>
    <col min="22" max="22" width="14.7109375" style="0" customWidth="1"/>
    <col min="23" max="23" width="16.00390625" style="0" customWidth="1"/>
    <col min="24" max="24" width="15.7109375" style="0" customWidth="1"/>
    <col min="25" max="25" width="13.00390625" style="0" customWidth="1"/>
    <col min="26" max="26" width="14.7109375" style="0" customWidth="1"/>
    <col min="27" max="27" width="18.140625" style="0" customWidth="1"/>
    <col min="28" max="28" width="12.421875" style="0" customWidth="1"/>
    <col min="29" max="29" width="12.57421875" style="0" customWidth="1"/>
    <col min="30" max="30" width="17.57421875" style="0" customWidth="1"/>
  </cols>
  <sheetData>
    <row r="1" spans="2:10" ht="15">
      <c r="B1" s="4" t="s">
        <v>280</v>
      </c>
      <c r="C1" s="1"/>
      <c r="D1" s="1"/>
      <c r="J1" s="45" t="s">
        <v>52</v>
      </c>
    </row>
    <row r="2" spans="3:9" ht="23.25">
      <c r="C2" s="1691" t="s">
        <v>24</v>
      </c>
      <c r="D2" s="1691"/>
      <c r="E2" s="1691"/>
      <c r="G2" s="227"/>
      <c r="H2" s="228" t="s">
        <v>93</v>
      </c>
      <c r="I2" s="228"/>
    </row>
    <row r="3" spans="3:9" ht="15">
      <c r="C3" s="14"/>
      <c r="D3" s="14"/>
      <c r="E3" s="14"/>
      <c r="I3" t="s">
        <v>264</v>
      </c>
    </row>
    <row r="4" spans="1:26" ht="15">
      <c r="A4" s="13" t="s">
        <v>1</v>
      </c>
      <c r="B4" s="1696" t="s">
        <v>275</v>
      </c>
      <c r="C4" s="1697"/>
      <c r="D4" s="1698"/>
      <c r="E4" s="1692" t="s">
        <v>28</v>
      </c>
      <c r="F4" s="1693"/>
      <c r="G4" s="1694" t="s">
        <v>29</v>
      </c>
      <c r="H4" s="1695"/>
      <c r="I4" s="1682" t="s">
        <v>30</v>
      </c>
      <c r="J4" s="1701"/>
      <c r="K4" s="1684" t="s">
        <v>31</v>
      </c>
      <c r="L4" s="1700"/>
      <c r="M4" s="1686" t="s">
        <v>32</v>
      </c>
      <c r="N4" s="1702"/>
      <c r="O4" s="1686" t="s">
        <v>38</v>
      </c>
      <c r="P4" s="1687"/>
      <c r="Q4" s="1703" t="s">
        <v>294</v>
      </c>
      <c r="R4" s="1704"/>
      <c r="S4" s="1705"/>
      <c r="T4" s="1679" t="s">
        <v>295</v>
      </c>
      <c r="U4" s="1680"/>
      <c r="V4" s="1680"/>
      <c r="W4" s="1680"/>
      <c r="X4" s="1681"/>
      <c r="Z4" s="225"/>
    </row>
    <row r="5" spans="1:29" ht="33" customHeight="1">
      <c r="A5" s="15"/>
      <c r="B5" s="338" t="s">
        <v>5</v>
      </c>
      <c r="C5" s="338" t="s">
        <v>6</v>
      </c>
      <c r="D5" s="339" t="s">
        <v>35</v>
      </c>
      <c r="E5" s="18" t="s">
        <v>33</v>
      </c>
      <c r="F5" s="19" t="s">
        <v>6</v>
      </c>
      <c r="G5" s="21" t="s">
        <v>33</v>
      </c>
      <c r="H5" s="22" t="s">
        <v>6</v>
      </c>
      <c r="I5" s="23" t="s">
        <v>33</v>
      </c>
      <c r="J5" s="24" t="s">
        <v>6</v>
      </c>
      <c r="K5" s="18" t="s">
        <v>33</v>
      </c>
      <c r="L5" s="19" t="s">
        <v>6</v>
      </c>
      <c r="M5" s="25" t="s">
        <v>33</v>
      </c>
      <c r="N5" s="33" t="s">
        <v>6</v>
      </c>
      <c r="O5" s="25" t="s">
        <v>33</v>
      </c>
      <c r="P5" s="33" t="s">
        <v>6</v>
      </c>
      <c r="Q5" s="222" t="s">
        <v>36</v>
      </c>
      <c r="R5" s="222" t="s">
        <v>26</v>
      </c>
      <c r="S5" s="31" t="s">
        <v>85</v>
      </c>
      <c r="T5" s="26" t="s">
        <v>33</v>
      </c>
      <c r="U5" s="22" t="s">
        <v>6</v>
      </c>
      <c r="V5" s="226" t="s">
        <v>86</v>
      </c>
      <c r="W5" s="37" t="s">
        <v>39</v>
      </c>
      <c r="X5" s="38" t="s">
        <v>87</v>
      </c>
      <c r="AB5" s="58"/>
      <c r="AC5" s="45"/>
    </row>
    <row r="6" spans="1:24" ht="24.75" customHeight="1">
      <c r="A6" s="46" t="s">
        <v>47</v>
      </c>
      <c r="B6" s="338">
        <v>1600403.41</v>
      </c>
      <c r="C6" s="340">
        <v>1553561.1200000003</v>
      </c>
      <c r="D6" s="341">
        <v>46842.28999999957</v>
      </c>
      <c r="E6" s="502">
        <f>'2022(пеня)'!C38+'2022(пеня)'!I38+'2022(пеня)'!M38+'2022(пеня)'!Q38</f>
        <v>13648.11</v>
      </c>
      <c r="F6" s="503">
        <f>'2022(пеня)'!F38+'2022(пеня)'!J38+'2022(пеня)'!N38+'2022(пеня)'!S38+'Оплата БАНК 1,2,3,4 кв-лы 2022'!B4</f>
        <v>28146.370000000003</v>
      </c>
      <c r="G6" s="12">
        <f>'2022(пеня)'!C67+'2022(пеня)'!H67+'2022(пеня)'!L67+'2022(пеня)'!P67</f>
        <v>18862.850000000002</v>
      </c>
      <c r="H6" s="27">
        <f>'2022(пеня)'!D67+'2022(пеня)'!I67+'2022(пеня)'!M67+'2022(пеня)'!R67</f>
        <v>16760.47</v>
      </c>
      <c r="I6" s="28">
        <f>'2022(пеня)'!C96+'2022(пеня)'!H96+'2022(пеня)'!L96+'2022(пеня)'!P96</f>
        <v>19165.15</v>
      </c>
      <c r="J6" s="29">
        <f>'2022(пеня)'!D96+'2022(пеня)'!I96+'2022(пеня)'!M96+'2022(пеня)'!R96</f>
        <v>22366.100000000002</v>
      </c>
      <c r="K6" s="3">
        <f>'2022(пеня)'!C125+'2022(пеня)'!H125+'2022(пеня)'!L125+'2022(пеня)'!P125</f>
        <v>19058.54</v>
      </c>
      <c r="L6" s="20">
        <f>'2022(пеня)'!D125+'2022(пеня)'!I125+'2022(пеня)'!M125+'2022(пеня)'!R125</f>
        <v>12120.56</v>
      </c>
      <c r="M6" s="7">
        <f>'2022(пеня)'!C154+'2022(пеня)'!H154+'2022(пеня)'!L154+'2022(пеня)'!P154</f>
        <v>19100.23</v>
      </c>
      <c r="N6" s="34">
        <f>'2022(пеня)'!D154+'2022(пеня)'!I154+'2022(пеня)'!M154+'2022(пеня)'!R154</f>
        <v>22478.38</v>
      </c>
      <c r="O6" s="7">
        <f>'2022(пеня)'!C183+'2022(пеня)'!H183+'2022(пеня)'!L183+'2022(пеня)'!P183</f>
        <v>19048.7</v>
      </c>
      <c r="P6" s="35">
        <f>'2022(пеня)'!D183+'2022(пеня)'!I183+'2022(пеня)'!M183+'2022(пеня)'!R183</f>
        <v>16592.010000000002</v>
      </c>
      <c r="Q6" s="223">
        <f>E6+G6+I6+K6+M6+O6</f>
        <v>108883.57999999999</v>
      </c>
      <c r="R6" s="223">
        <f>F6+H6+J6+L6+N6+P6</f>
        <v>118463.89000000001</v>
      </c>
      <c r="S6" s="32">
        <f>E6+G6+I6+K6+M6+O6-F6-H6-J6-L6-N6-P6</f>
        <v>-9580.310000000016</v>
      </c>
      <c r="T6" s="10">
        <f>B6+E6+G6+I6+K6+M6+O6</f>
        <v>1709286.99</v>
      </c>
      <c r="U6" s="43">
        <f>C6+F6+H6+J6+L6+N6+P6</f>
        <v>1672025.0100000005</v>
      </c>
      <c r="V6" s="10">
        <f>T6-U6</f>
        <v>37261.979999999516</v>
      </c>
      <c r="W6" s="256"/>
      <c r="X6" s="3"/>
    </row>
    <row r="7" spans="1:24" ht="15">
      <c r="A7" s="46" t="s">
        <v>53</v>
      </c>
      <c r="B7" s="338">
        <v>2987301.6600000006</v>
      </c>
      <c r="C7" s="340">
        <v>2564489.3099999996</v>
      </c>
      <c r="D7" s="341">
        <v>422812.350000001</v>
      </c>
      <c r="E7" s="502">
        <f>'2022(пеня)'!C39+'2022(пеня)'!I39+'2022(пеня)'!M39+'2022(пеня)'!Q39</f>
        <v>30199.4</v>
      </c>
      <c r="F7" s="503">
        <f>'2022(пеня)'!F39+'2022(пеня)'!J39+'2022(пеня)'!N39+'2022(пеня)'!S39+'Оплата БАНК 1,2,3,4 кв-лы 2022'!B5</f>
        <v>30861.699999999997</v>
      </c>
      <c r="G7" s="12">
        <f>'2022(пеня)'!C68+'2022(пеня)'!H68+'2022(пеня)'!L68+'2022(пеня)'!P68</f>
        <v>30173.870000000003</v>
      </c>
      <c r="H7" s="27">
        <f>'2022(пеня)'!D68+'2022(пеня)'!I68+'2022(пеня)'!M68+'2022(пеня)'!R68</f>
        <v>27643.22</v>
      </c>
      <c r="I7" s="28">
        <f>'2022(пеня)'!C97+'2022(пеня)'!H97+'2022(пеня)'!L97+'2022(пеня)'!P97</f>
        <v>30492.35</v>
      </c>
      <c r="J7" s="29">
        <f>'2022(пеня)'!D97+'2022(пеня)'!I97+'2022(пеня)'!M97+'2022(пеня)'!R97</f>
        <v>30383.24</v>
      </c>
      <c r="K7" s="3">
        <f>'2022(пеня)'!C126+'2022(пеня)'!H126+'2022(пеня)'!L126+'2022(пеня)'!P126</f>
        <v>30255.91</v>
      </c>
      <c r="L7" s="20">
        <f>'2022(пеня)'!D126+'2022(пеня)'!I126+'2022(пеня)'!M126+'2022(пеня)'!R126</f>
        <v>33107.86</v>
      </c>
      <c r="M7" s="7">
        <f>'2022(пеня)'!C155+'2022(пеня)'!H155+'2022(пеня)'!L155+'2022(пеня)'!P155</f>
        <v>30725.97</v>
      </c>
      <c r="N7" s="34">
        <f>'2022(пеня)'!D155+'2022(пеня)'!I155+'2022(пеня)'!M155+'2022(пеня)'!R155</f>
        <v>54500.21</v>
      </c>
      <c r="O7" s="7">
        <f>'2022(пеня)'!C184+'2022(пеня)'!H184+'2022(пеня)'!L184+'2022(пеня)'!P184</f>
        <v>30234.61</v>
      </c>
      <c r="P7" s="35">
        <f>'2022(пеня)'!D184+'2022(пеня)'!I184+'2022(пеня)'!M184+'2022(пеня)'!R184</f>
        <v>27256.54</v>
      </c>
      <c r="Q7" s="223">
        <f aca="true" t="shared" si="0" ref="Q7:Q30">E7+G7+I7+K7+M7+O7</f>
        <v>182082.11</v>
      </c>
      <c r="R7" s="223">
        <f aca="true" t="shared" si="1" ref="R7:R30">F7+H7+J7+L7+N7+P7</f>
        <v>203752.77000000002</v>
      </c>
      <c r="S7" s="32">
        <f aca="true" t="shared" si="2" ref="S7:S30">E7+G7+I7+K7+M7+O7-F7-H7-J7-L7-N7-P7</f>
        <v>-21670.660000000033</v>
      </c>
      <c r="T7" s="10">
        <f aca="true" t="shared" si="3" ref="T7:T30">B7+E7+G7+I7+K7+M7+O7</f>
        <v>3169383.770000001</v>
      </c>
      <c r="U7" s="43">
        <f aca="true" t="shared" si="4" ref="U7:U30">C7+F7+H7+J7+L7+N7+P7</f>
        <v>2768242.08</v>
      </c>
      <c r="V7" s="10">
        <f aca="true" t="shared" si="5" ref="V7:V31">T7-U7</f>
        <v>401141.6900000009</v>
      </c>
      <c r="W7" s="256"/>
      <c r="X7" s="3"/>
    </row>
    <row r="8" spans="1:25" ht="15">
      <c r="A8" s="46" t="s">
        <v>8</v>
      </c>
      <c r="B8" s="340">
        <v>1574413.77</v>
      </c>
      <c r="C8" s="340">
        <v>1506126.7</v>
      </c>
      <c r="D8" s="341">
        <v>68287.07000000007</v>
      </c>
      <c r="E8" s="502">
        <f>'2022(пеня)'!C40+'2022(пеня)'!I40+'2022(пеня)'!M40+'2022(пеня)'!Q40</f>
        <v>0</v>
      </c>
      <c r="F8" s="503">
        <f>'2022(пеня)'!F40+'2022(пеня)'!J40+'2022(пеня)'!N40+'2022(пеня)'!S40+'Оплата БАНК 1,2,3,4 кв-лы 2022'!B6</f>
        <v>0</v>
      </c>
      <c r="G8" s="12">
        <f>'2022(пеня)'!C69+'2022(пеня)'!H69+'2022(пеня)'!L69+'2022(пеня)'!P69</f>
        <v>0</v>
      </c>
      <c r="H8" s="27">
        <f>'2022(пеня)'!D69+'2022(пеня)'!I69+'2022(пеня)'!M69+'2022(пеня)'!R69</f>
        <v>0</v>
      </c>
      <c r="I8" s="28">
        <f>'2022(пеня)'!C98+'2022(пеня)'!H98+'2022(пеня)'!L98+'2022(пеня)'!P98</f>
        <v>0</v>
      </c>
      <c r="J8" s="29">
        <f>'2022(пеня)'!D98+'2022(пеня)'!I98+'2022(пеня)'!M98+'2022(пеня)'!R98</f>
        <v>0</v>
      </c>
      <c r="K8" s="3">
        <f>'2022(пеня)'!C127+'2022(пеня)'!H127+'2022(пеня)'!L127+'2022(пеня)'!P127</f>
        <v>0</v>
      </c>
      <c r="L8" s="20">
        <f>'2022(пеня)'!D127+'2022(пеня)'!I127+'2022(пеня)'!M127+'2022(пеня)'!R127</f>
        <v>0</v>
      </c>
      <c r="M8" s="7">
        <f>'2022(пеня)'!C156+'2022(пеня)'!H156+'2022(пеня)'!L156+'2022(пеня)'!P156</f>
        <v>0</v>
      </c>
      <c r="N8" s="34">
        <f>'2022(пеня)'!D156+'2022(пеня)'!I156+'2022(пеня)'!M156+'2022(пеня)'!R156</f>
        <v>0</v>
      </c>
      <c r="O8" s="7">
        <f>'2022(пеня)'!C185+'2022(пеня)'!H185+'2022(пеня)'!L185+'2022(пеня)'!P185</f>
        <v>0</v>
      </c>
      <c r="P8" s="35">
        <f>'2022(пеня)'!D185+'2022(пеня)'!I185+'2022(пеня)'!M185+'2022(пеня)'!R185</f>
        <v>0</v>
      </c>
      <c r="Q8" s="223">
        <f t="shared" si="0"/>
        <v>0</v>
      </c>
      <c r="R8" s="223">
        <f t="shared" si="1"/>
        <v>0</v>
      </c>
      <c r="S8" s="32">
        <f t="shared" si="2"/>
        <v>0</v>
      </c>
      <c r="T8" s="10">
        <f t="shared" si="3"/>
        <v>1574413.77</v>
      </c>
      <c r="U8" s="43">
        <f t="shared" si="4"/>
        <v>1506126.7</v>
      </c>
      <c r="V8" s="10">
        <f t="shared" si="5"/>
        <v>68287.07000000007</v>
      </c>
      <c r="W8" s="256"/>
      <c r="X8" s="3"/>
      <c r="Y8" s="39"/>
    </row>
    <row r="9" spans="1:25" ht="15">
      <c r="A9" s="46" t="s">
        <v>48</v>
      </c>
      <c r="B9" s="340">
        <v>7149067.8999999985</v>
      </c>
      <c r="C9" s="340">
        <v>6270531.309999999</v>
      </c>
      <c r="D9" s="341">
        <v>878536.5899999999</v>
      </c>
      <c r="E9" s="502">
        <f>'2022(пеня)'!C41+'2022(пеня)'!I41+'2022(пеня)'!M41+'2022(пеня)'!Q41</f>
        <v>75322.61</v>
      </c>
      <c r="F9" s="503">
        <f>'2022(пеня)'!F41+'2022(пеня)'!J41+'2022(пеня)'!N41+'2022(пеня)'!S41+'Оплата БАНК 1,2,3,4 кв-лы 2022'!B7</f>
        <v>67293.31</v>
      </c>
      <c r="G9" s="12">
        <f>'2022(пеня)'!C70+'2022(пеня)'!H70+'2022(пеня)'!L70+'2022(пеня)'!P70</f>
        <v>75823.37</v>
      </c>
      <c r="H9" s="27">
        <f>'2022(пеня)'!D70+'2022(пеня)'!I70+'2022(пеня)'!M70+'2022(пеня)'!R70</f>
        <v>64316.57</v>
      </c>
      <c r="I9" s="28">
        <f>'2022(пеня)'!C99+'2022(пеня)'!H99+'2022(пеня)'!L99+'2022(пеня)'!P99</f>
        <v>75876.12999999999</v>
      </c>
      <c r="J9" s="29">
        <f>'2022(пеня)'!D99+'2022(пеня)'!I99+'2022(пеня)'!M99+'2022(пеня)'!R99</f>
        <v>79679.65</v>
      </c>
      <c r="K9" s="3">
        <f>'2022(пеня)'!C128+'2022(пеня)'!H128+'2022(пеня)'!L128+'2022(пеня)'!P128</f>
        <v>75741.29</v>
      </c>
      <c r="L9" s="20">
        <f>'2022(пеня)'!D128+'2022(пеня)'!I128+'2022(пеня)'!M128+'2022(пеня)'!R128</f>
        <v>71272.87000000001</v>
      </c>
      <c r="M9" s="7">
        <f>'2022(пеня)'!C157+'2022(пеня)'!H157+'2022(пеня)'!L157+'2022(пеня)'!P157</f>
        <v>77927.26</v>
      </c>
      <c r="N9" s="34">
        <f>'2022(пеня)'!D157+'2022(пеня)'!I157+'2022(пеня)'!M157+'2022(пеня)'!R157</f>
        <v>69899.17</v>
      </c>
      <c r="O9" s="7">
        <f>'2022(пеня)'!C186+'2022(пеня)'!H186+'2022(пеня)'!L186+'2022(пеня)'!P186</f>
        <v>73573.51999999999</v>
      </c>
      <c r="P9" s="35">
        <f>'2022(пеня)'!D186+'2022(пеня)'!I186+'2022(пеня)'!M186+'2022(пеня)'!R186</f>
        <v>70571.45</v>
      </c>
      <c r="Q9" s="223">
        <f t="shared" si="0"/>
        <v>454264.17999999993</v>
      </c>
      <c r="R9" s="223">
        <f t="shared" si="1"/>
        <v>423033.02</v>
      </c>
      <c r="S9" s="32">
        <f t="shared" si="2"/>
        <v>31231.159999999916</v>
      </c>
      <c r="T9" s="10">
        <f t="shared" si="3"/>
        <v>7603332.079999998</v>
      </c>
      <c r="U9" s="43">
        <f t="shared" si="4"/>
        <v>6693564.329999999</v>
      </c>
      <c r="V9" s="10">
        <f t="shared" si="5"/>
        <v>909767.7499999991</v>
      </c>
      <c r="W9" s="256"/>
      <c r="X9" s="3"/>
      <c r="Y9" s="224"/>
    </row>
    <row r="10" spans="1:24" ht="15">
      <c r="A10" s="13" t="s">
        <v>9</v>
      </c>
      <c r="B10" s="340">
        <v>1721023.0899999994</v>
      </c>
      <c r="C10" s="340">
        <v>1618389.74</v>
      </c>
      <c r="D10" s="341">
        <v>102633.3499999994</v>
      </c>
      <c r="E10" s="502">
        <f>'2022(пеня)'!C42+'2022(пеня)'!I42+'2022(пеня)'!M42+'2022(пеня)'!Q42</f>
        <v>19580.94</v>
      </c>
      <c r="F10" s="503">
        <f>'2022(пеня)'!F42+'2022(пеня)'!J42+'2022(пеня)'!N42+'2022(пеня)'!S42+'Оплата БАНК 1,2,3,4 кв-лы 2022'!B8</f>
        <v>15476.16</v>
      </c>
      <c r="G10" s="12">
        <f>'2022(пеня)'!C71+'2022(пеня)'!H71+'2022(пеня)'!L71+'2022(пеня)'!P71</f>
        <v>19562.77</v>
      </c>
      <c r="H10" s="27">
        <f>'2022(пеня)'!D71+'2022(пеня)'!I71+'2022(пеня)'!M71+'2022(пеня)'!R71</f>
        <v>20560.93</v>
      </c>
      <c r="I10" s="28">
        <f>'2022(пеня)'!C100+'2022(пеня)'!H100+'2022(пеня)'!L100+'2022(пеня)'!P100</f>
        <v>19918.190000000002</v>
      </c>
      <c r="J10" s="29">
        <f>'2022(пеня)'!D100+'2022(пеня)'!I100+'2022(пеня)'!M100+'2022(пеня)'!R100</f>
        <v>20172.879999999997</v>
      </c>
      <c r="K10" s="3">
        <f>'2022(пеня)'!C129+'2022(пеня)'!H129+'2022(пеня)'!L129+'2022(пеня)'!P129</f>
        <v>19627.890000000003</v>
      </c>
      <c r="L10" s="20">
        <f>'2022(пеня)'!D129+'2022(пеня)'!I129+'2022(пеня)'!M129+'2022(пеня)'!R129</f>
        <v>20183.25</v>
      </c>
      <c r="M10" s="7">
        <f>'2022(пеня)'!C158+'2022(пеня)'!H158+'2022(пеня)'!L158+'2022(пеня)'!P158</f>
        <v>19573.370000000003</v>
      </c>
      <c r="N10" s="34">
        <f>'2022(пеня)'!D158+'2022(пеня)'!I158+'2022(пеня)'!M158+'2022(пеня)'!R158</f>
        <v>17526.08</v>
      </c>
      <c r="O10" s="7">
        <f>'2022(пеня)'!C187+'2022(пеня)'!H187+'2022(пеня)'!L187+'2022(пеня)'!P187</f>
        <v>19546.920000000002</v>
      </c>
      <c r="P10" s="35">
        <f>'2022(пеня)'!D187+'2022(пеня)'!I187+'2022(пеня)'!M187+'2022(пеня)'!R187</f>
        <v>19704.64</v>
      </c>
      <c r="Q10" s="223">
        <f t="shared" si="0"/>
        <v>117810.08</v>
      </c>
      <c r="R10" s="223">
        <f t="shared" si="1"/>
        <v>113623.94</v>
      </c>
      <c r="S10" s="32">
        <f t="shared" si="2"/>
        <v>4186.139999999992</v>
      </c>
      <c r="T10" s="10">
        <f t="shared" si="3"/>
        <v>1838833.1699999992</v>
      </c>
      <c r="U10" s="43">
        <f t="shared" si="4"/>
        <v>1732013.6799999997</v>
      </c>
      <c r="V10" s="10">
        <f t="shared" si="5"/>
        <v>106819.48999999953</v>
      </c>
      <c r="W10" s="256"/>
      <c r="X10" s="3"/>
    </row>
    <row r="11" spans="1:24" ht="15">
      <c r="A11" s="13" t="s">
        <v>10</v>
      </c>
      <c r="B11" s="340">
        <v>688765.6000000001</v>
      </c>
      <c r="C11" s="340">
        <v>679767.5700000002</v>
      </c>
      <c r="D11" s="341">
        <v>8998.029999999912</v>
      </c>
      <c r="E11" s="502">
        <f>'2022(пеня)'!C43+'2022(пеня)'!I43+'2022(пеня)'!M43+'2022(пеня)'!Q43</f>
        <v>7807.38</v>
      </c>
      <c r="F11" s="503">
        <f>'2022(пеня)'!F43+'2022(пеня)'!J43+'2022(пеня)'!N43+'2022(пеня)'!S43+'Оплата БАНК 1,2,3,4 кв-лы 2022'!B9</f>
        <v>7207.82</v>
      </c>
      <c r="G11" s="12">
        <f>'2022(пеня)'!C72+'2022(пеня)'!H72+'2022(пеня)'!L72+'2022(пеня)'!P72</f>
        <v>7837.870000000001</v>
      </c>
      <c r="H11" s="27">
        <f>'2022(пеня)'!D72+'2022(пеня)'!I72+'2022(пеня)'!M72+'2022(пеня)'!R72</f>
        <v>8251.37</v>
      </c>
      <c r="I11" s="28">
        <f>'2022(пеня)'!C101+'2022(пеня)'!H101+'2022(пеня)'!L101+'2022(пеня)'!P101</f>
        <v>7911.1900000000005</v>
      </c>
      <c r="J11" s="29">
        <f>'2022(пеня)'!D101+'2022(пеня)'!I101+'2022(пеня)'!M101+'2022(пеня)'!R101</f>
        <v>10294.23</v>
      </c>
      <c r="K11" s="3">
        <f>'2022(пеня)'!C130+'2022(пеня)'!H130+'2022(пеня)'!L130+'2022(пеня)'!P130</f>
        <v>7802.71</v>
      </c>
      <c r="L11" s="20">
        <f>'2022(пеня)'!D130+'2022(пеня)'!I130+'2022(пеня)'!M130+'2022(пеня)'!R130</f>
        <v>7327.55</v>
      </c>
      <c r="M11" s="7">
        <f>'2022(пеня)'!C159+'2022(пеня)'!H159+'2022(пеня)'!L159+'2022(пеня)'!P159</f>
        <v>7804.160000000001</v>
      </c>
      <c r="N11" s="34">
        <f>'2022(пеня)'!D159+'2022(пеня)'!I159+'2022(пеня)'!M159+'2022(пеня)'!R159</f>
        <v>6583.19</v>
      </c>
      <c r="O11" s="7">
        <f>'2022(пеня)'!C188+'2022(пеня)'!H188+'2022(пеня)'!L188+'2022(пеня)'!P188</f>
        <v>7825.400000000001</v>
      </c>
      <c r="P11" s="35">
        <f>'2022(пеня)'!D188+'2022(пеня)'!I188+'2022(пеня)'!M188+'2022(пеня)'!R188</f>
        <v>9197.61</v>
      </c>
      <c r="Q11" s="223">
        <f t="shared" si="0"/>
        <v>46988.71000000001</v>
      </c>
      <c r="R11" s="223">
        <f t="shared" si="1"/>
        <v>48861.770000000004</v>
      </c>
      <c r="S11" s="32">
        <f t="shared" si="2"/>
        <v>-1873.059999999995</v>
      </c>
      <c r="T11" s="10">
        <f t="shared" si="3"/>
        <v>735754.31</v>
      </c>
      <c r="U11" s="43">
        <f t="shared" si="4"/>
        <v>728629.3400000001</v>
      </c>
      <c r="V11" s="10">
        <f t="shared" si="5"/>
        <v>7124.969999999972</v>
      </c>
      <c r="W11" s="256"/>
      <c r="X11" s="3"/>
    </row>
    <row r="12" spans="1:24" ht="15">
      <c r="A12" s="46" t="s">
        <v>11</v>
      </c>
      <c r="B12" s="340">
        <v>686255.0300000001</v>
      </c>
      <c r="C12" s="340">
        <v>669889.8400000001</v>
      </c>
      <c r="D12" s="341">
        <v>16365.19000000006</v>
      </c>
      <c r="E12" s="502">
        <f>'2022(пеня)'!C44+'2022(пеня)'!I44+'2022(пеня)'!M44+'2022(пеня)'!Q44</f>
        <v>7773.19</v>
      </c>
      <c r="F12" s="503">
        <f>'2022(пеня)'!F44+'2022(пеня)'!J44+'2022(пеня)'!N44+'2022(пеня)'!S44+'Оплата БАНК 1,2,3,4 кв-лы 2022'!B10</f>
        <v>6970.8</v>
      </c>
      <c r="G12" s="12">
        <f>'2022(пеня)'!C73+'2022(пеня)'!H73+'2022(пеня)'!L73+'2022(пеня)'!P73</f>
        <v>7774.04</v>
      </c>
      <c r="H12" s="27">
        <f>'2022(пеня)'!D73+'2022(пеня)'!I73+'2022(пеня)'!M73+'2022(пеня)'!R73</f>
        <v>7553.89</v>
      </c>
      <c r="I12" s="28">
        <f>'2022(пеня)'!C102+'2022(пеня)'!H102+'2022(пеня)'!L102+'2022(пеня)'!P102</f>
        <v>7769.46</v>
      </c>
      <c r="J12" s="29">
        <f>'2022(пеня)'!D102+'2022(пеня)'!I102+'2022(пеня)'!M102+'2022(пеня)'!R102</f>
        <v>7548.389999999999</v>
      </c>
      <c r="K12" s="3">
        <f>'2022(пеня)'!C131+'2022(пеня)'!H131+'2022(пеня)'!L131+'2022(пеня)'!P131</f>
        <v>7770.5</v>
      </c>
      <c r="L12" s="20">
        <f>'2022(пеня)'!D131+'2022(пеня)'!I131+'2022(пеня)'!M131+'2022(пеня)'!R131</f>
        <v>7733.4</v>
      </c>
      <c r="M12" s="7">
        <f>'2022(пеня)'!C160+'2022(пеня)'!H160+'2022(пеня)'!L160+'2022(пеня)'!P160</f>
        <v>7768.21</v>
      </c>
      <c r="N12" s="34">
        <f>'2022(пеня)'!D160+'2022(пеня)'!I160+'2022(пеня)'!M160+'2022(пеня)'!R160</f>
        <v>6753.99</v>
      </c>
      <c r="O12" s="7">
        <f>'2022(пеня)'!C189+'2022(пеня)'!H189+'2022(пеня)'!L189+'2022(пеня)'!P189</f>
        <v>7809.01</v>
      </c>
      <c r="P12" s="35">
        <f>'2022(пеня)'!D189+'2022(пеня)'!I189+'2022(пеня)'!M189+'2022(пеня)'!R189</f>
        <v>9130.59</v>
      </c>
      <c r="Q12" s="223">
        <f t="shared" si="0"/>
        <v>46664.41</v>
      </c>
      <c r="R12" s="223">
        <f t="shared" si="1"/>
        <v>45691.06</v>
      </c>
      <c r="S12" s="32">
        <f t="shared" si="2"/>
        <v>973.3500000000004</v>
      </c>
      <c r="T12" s="10">
        <f t="shared" si="3"/>
        <v>732919.4400000001</v>
      </c>
      <c r="U12" s="43">
        <f t="shared" si="4"/>
        <v>715580.9000000001</v>
      </c>
      <c r="V12" s="10">
        <f t="shared" si="5"/>
        <v>17338.53999999992</v>
      </c>
      <c r="W12" s="256"/>
      <c r="X12" s="3"/>
    </row>
    <row r="13" spans="1:24" ht="15">
      <c r="A13" s="13" t="s">
        <v>12</v>
      </c>
      <c r="B13" s="340">
        <v>4101320.8799999994</v>
      </c>
      <c r="C13" s="340">
        <v>4032235.84</v>
      </c>
      <c r="D13" s="341">
        <v>69085.03999999957</v>
      </c>
      <c r="E13" s="502">
        <f>'2022(пеня)'!C45+'2022(пеня)'!I45+'2022(пеня)'!M45+'2022(пеня)'!Q45</f>
        <v>46700.9</v>
      </c>
      <c r="F13" s="503">
        <f>'2022(пеня)'!F45+'2022(пеня)'!J45+'2022(пеня)'!N45+'2022(пеня)'!S45+'Оплата БАНК 1,2,3,4 кв-лы 2022'!B11</f>
        <v>48020.08</v>
      </c>
      <c r="G13" s="12">
        <f>'2022(пеня)'!C74+'2022(пеня)'!H74+'2022(пеня)'!L74+'2022(пеня)'!P74</f>
        <v>46586.42</v>
      </c>
      <c r="H13" s="27">
        <f>'2022(пеня)'!D74+'2022(пеня)'!I74+'2022(пеня)'!M74+'2022(пеня)'!R74</f>
        <v>45092.05</v>
      </c>
      <c r="I13" s="28">
        <f>'2022(пеня)'!C103+'2022(пеня)'!H103+'2022(пеня)'!L103+'2022(пеня)'!P103</f>
        <v>46579.02</v>
      </c>
      <c r="J13" s="29">
        <f>'2022(пеня)'!D103+'2022(пеня)'!I103+'2022(пеня)'!M103+'2022(пеня)'!R103</f>
        <v>41729.13</v>
      </c>
      <c r="K13" s="3">
        <f>'2022(пеня)'!C132+'2022(пеня)'!H132+'2022(пеня)'!L132+'2022(пеня)'!P132</f>
        <v>46799.09</v>
      </c>
      <c r="L13" s="20">
        <f>'2022(пеня)'!D132+'2022(пеня)'!I132+'2022(пеня)'!M132+'2022(пеня)'!R132</f>
        <v>51899.96</v>
      </c>
      <c r="M13" s="7">
        <f>'2022(пеня)'!C161+'2022(пеня)'!H161+'2022(пеня)'!L161+'2022(пеня)'!P161</f>
        <v>46559.19</v>
      </c>
      <c r="N13" s="34">
        <f>'2022(пеня)'!D161+'2022(пеня)'!I161+'2022(пеня)'!M161+'2022(пеня)'!R161</f>
        <v>43886.91</v>
      </c>
      <c r="O13" s="7">
        <f>'2022(пеня)'!C190+'2022(пеня)'!H190+'2022(пеня)'!L190+'2022(пеня)'!P190</f>
        <v>46664.65</v>
      </c>
      <c r="P13" s="35">
        <f>'2022(пеня)'!D190+'2022(пеня)'!I190+'2022(пеня)'!M190+'2022(пеня)'!R190</f>
        <v>45704.08</v>
      </c>
      <c r="Q13" s="223">
        <f t="shared" si="0"/>
        <v>279889.27</v>
      </c>
      <c r="R13" s="223">
        <f t="shared" si="1"/>
        <v>276332.21</v>
      </c>
      <c r="S13" s="32">
        <f t="shared" si="2"/>
        <v>3557.060000000012</v>
      </c>
      <c r="T13" s="10">
        <f t="shared" si="3"/>
        <v>4381210.149999999</v>
      </c>
      <c r="U13" s="43">
        <f t="shared" si="4"/>
        <v>4308568.05</v>
      </c>
      <c r="V13" s="10">
        <f t="shared" si="5"/>
        <v>72642.09999999963</v>
      </c>
      <c r="W13" s="256"/>
      <c r="X13" s="3"/>
    </row>
    <row r="14" spans="1:24" ht="15">
      <c r="A14" s="13" t="s">
        <v>13</v>
      </c>
      <c r="B14" s="340">
        <v>2391382.8999999994</v>
      </c>
      <c r="C14" s="340">
        <v>2348689.1199999996</v>
      </c>
      <c r="D14" s="341">
        <v>42693.779999999795</v>
      </c>
      <c r="E14" s="502">
        <f>'2022(пеня)'!C46+'2022(пеня)'!I46+'2022(пеня)'!M46+'2022(пеня)'!Q46</f>
        <v>27114.94</v>
      </c>
      <c r="F14" s="503">
        <f>'2022(пеня)'!F46+'2022(пеня)'!J46+'2022(пеня)'!N46+'2022(пеня)'!S46+'Оплата БАНК 1,2,3,4 кв-лы 2022'!B12</f>
        <v>24279.690000000002</v>
      </c>
      <c r="G14" s="12">
        <f>'2022(пеня)'!C75+'2022(пеня)'!H75+'2022(пеня)'!L75+'2022(пеня)'!P75</f>
        <v>27127.049999999996</v>
      </c>
      <c r="H14" s="27">
        <f>'2022(пеня)'!D75+'2022(пеня)'!I75+'2022(пеня)'!M75+'2022(пеня)'!R75</f>
        <v>26035.829999999998</v>
      </c>
      <c r="I14" s="28">
        <f>'2022(пеня)'!C104+'2022(пеня)'!H104+'2022(пеня)'!L104+'2022(пеня)'!P104</f>
        <v>27259.679999999997</v>
      </c>
      <c r="J14" s="29">
        <f>'2022(пеня)'!D104+'2022(пеня)'!I104+'2022(пеня)'!M104+'2022(пеня)'!R104</f>
        <v>28685.87</v>
      </c>
      <c r="K14" s="3">
        <f>'2022(пеня)'!C133+'2022(пеня)'!H133+'2022(пеня)'!L133+'2022(пеня)'!P133</f>
        <v>27122.079999999998</v>
      </c>
      <c r="L14" s="20">
        <f>'2022(пеня)'!D133+'2022(пеня)'!I133+'2022(пеня)'!M133+'2022(пеня)'!R133</f>
        <v>23872.09</v>
      </c>
      <c r="M14" s="7">
        <f>'2022(пеня)'!C162+'2022(пеня)'!H162+'2022(пеня)'!L162+'2022(пеня)'!P162</f>
        <v>27120.76</v>
      </c>
      <c r="N14" s="34">
        <f>'2022(пеня)'!D162+'2022(пеня)'!I162+'2022(пеня)'!M162+'2022(пеня)'!R162</f>
        <v>26703.93</v>
      </c>
      <c r="O14" s="7">
        <f>'2022(пеня)'!C191+'2022(пеня)'!H191+'2022(пеня)'!L191+'2022(пеня)'!P191</f>
        <v>27096.459999999995</v>
      </c>
      <c r="P14" s="35">
        <f>'2022(пеня)'!D191+'2022(пеня)'!I191+'2022(пеня)'!M191+'2022(пеня)'!R191</f>
        <v>21784.51</v>
      </c>
      <c r="Q14" s="223">
        <f t="shared" si="0"/>
        <v>162840.96999999997</v>
      </c>
      <c r="R14" s="223">
        <f t="shared" si="1"/>
        <v>151361.92</v>
      </c>
      <c r="S14" s="32">
        <f t="shared" si="2"/>
        <v>11479.049999999977</v>
      </c>
      <c r="T14" s="10">
        <f t="shared" si="3"/>
        <v>2554223.869999999</v>
      </c>
      <c r="U14" s="43">
        <f t="shared" si="4"/>
        <v>2500051.0399999996</v>
      </c>
      <c r="V14" s="10">
        <f t="shared" si="5"/>
        <v>54172.82999999961</v>
      </c>
      <c r="W14" s="256"/>
      <c r="X14" s="3"/>
    </row>
    <row r="15" spans="1:24" ht="15">
      <c r="A15" s="13" t="s">
        <v>14</v>
      </c>
      <c r="B15" s="340">
        <v>3029320.2500000005</v>
      </c>
      <c r="C15" s="340">
        <v>2984535.6499999994</v>
      </c>
      <c r="D15" s="341">
        <v>44784.600000001024</v>
      </c>
      <c r="E15" s="502">
        <f>'2022(пеня)'!C47+'2022(пеня)'!I47+'2022(пеня)'!M47+'2022(пеня)'!Q47</f>
        <v>35036.79</v>
      </c>
      <c r="F15" s="503">
        <f>'2022(пеня)'!F47+'2022(пеня)'!J47+'2022(пеня)'!N47+'2022(пеня)'!S47+'Оплата БАНК 1,2,3,4 кв-лы 2022'!B13</f>
        <v>39516.8</v>
      </c>
      <c r="G15" s="12">
        <f>'2022(пеня)'!C76+'2022(пеня)'!H76+'2022(пеня)'!L76+'2022(пеня)'!P76</f>
        <v>35114.87</v>
      </c>
      <c r="H15" s="27">
        <f>'2022(пеня)'!D76+'2022(пеня)'!I76+'2022(пеня)'!M76+'2022(пеня)'!R76</f>
        <v>33616.020000000004</v>
      </c>
      <c r="I15" s="28">
        <f>'2022(пеня)'!C105+'2022(пеня)'!H105+'2022(пеня)'!L105+'2022(пеня)'!P105</f>
        <v>35031.670000000006</v>
      </c>
      <c r="J15" s="29">
        <f>'2022(пеня)'!D105+'2022(пеня)'!I105+'2022(пеня)'!M105+'2022(пеня)'!R105</f>
        <v>38114.73</v>
      </c>
      <c r="K15" s="3">
        <f>'2022(пеня)'!C134+'2022(пеня)'!H134+'2022(пеня)'!L134+'2022(пеня)'!P134</f>
        <v>35012.810000000005</v>
      </c>
      <c r="L15" s="20">
        <f>'2022(пеня)'!D134+'2022(пеня)'!I134+'2022(пеня)'!M134+'2022(пеня)'!R134</f>
        <v>33017.44</v>
      </c>
      <c r="M15" s="7">
        <f>'2022(пеня)'!C163+'2022(пеня)'!H163+'2022(пеня)'!L163+'2022(пеня)'!P163</f>
        <v>35018.240000000005</v>
      </c>
      <c r="N15" s="34">
        <f>'2022(пеня)'!D163+'2022(пеня)'!I163+'2022(пеня)'!M163+'2022(пеня)'!R163</f>
        <v>37255.83</v>
      </c>
      <c r="O15" s="7">
        <f>'2022(пеня)'!C192+'2022(пеня)'!H192+'2022(пеня)'!L192+'2022(пеня)'!P192</f>
        <v>35035.55</v>
      </c>
      <c r="P15" s="35">
        <f>'2022(пеня)'!D192+'2022(пеня)'!I192+'2022(пеня)'!M192+'2022(пеня)'!R192</f>
        <v>34532.92999999999</v>
      </c>
      <c r="Q15" s="223">
        <f t="shared" si="0"/>
        <v>210249.93</v>
      </c>
      <c r="R15" s="223">
        <f t="shared" si="1"/>
        <v>216053.75</v>
      </c>
      <c r="S15" s="32">
        <f t="shared" si="2"/>
        <v>-5803.8200000000215</v>
      </c>
      <c r="T15" s="10">
        <f t="shared" si="3"/>
        <v>3239570.1800000006</v>
      </c>
      <c r="U15" s="43">
        <f t="shared" si="4"/>
        <v>3200589.3999999994</v>
      </c>
      <c r="V15" s="10">
        <f t="shared" si="5"/>
        <v>38980.78000000119</v>
      </c>
      <c r="W15" s="256"/>
      <c r="X15" s="3"/>
    </row>
    <row r="16" spans="1:24" ht="15">
      <c r="A16" s="46" t="s">
        <v>55</v>
      </c>
      <c r="B16" s="340">
        <v>1482084.3900000001</v>
      </c>
      <c r="C16" s="340">
        <v>1316513.2000000002</v>
      </c>
      <c r="D16" s="341">
        <v>165571.18999999994</v>
      </c>
      <c r="E16" s="502">
        <f>'2022(пеня)'!C48+'2022(пеня)'!I48+'2022(пеня)'!M48+'2022(пеня)'!Q48</f>
        <v>15319.6</v>
      </c>
      <c r="F16" s="503">
        <f>'2022(пеня)'!F48+'2022(пеня)'!J48+'2022(пеня)'!N48+'2022(пеня)'!S48+'Оплата БАНК 1,2,3,4 кв-лы 2022'!B14</f>
        <v>12547.730000000001</v>
      </c>
      <c r="G16" s="12">
        <f>'2022(пеня)'!C77+'2022(пеня)'!H77+'2022(пеня)'!L77+'2022(пеня)'!P77</f>
        <v>15318.83</v>
      </c>
      <c r="H16" s="27">
        <f>'2022(пеня)'!D77+'2022(пеня)'!I77+'2022(пеня)'!M77+'2022(пеня)'!R77</f>
        <v>15242.24</v>
      </c>
      <c r="I16" s="28">
        <f>'2022(пеня)'!C106+'2022(пеня)'!H106+'2022(пеня)'!L106+'2022(пеня)'!P106</f>
        <v>15317.01</v>
      </c>
      <c r="J16" s="29">
        <f>'2022(пеня)'!D106+'2022(пеня)'!I106+'2022(пеня)'!M106+'2022(пеня)'!R106</f>
        <v>15796.79</v>
      </c>
      <c r="K16" s="3">
        <f>'2022(пеня)'!C135+'2022(пеня)'!H135+'2022(пеня)'!L135+'2022(пеня)'!P135</f>
        <v>15325.65</v>
      </c>
      <c r="L16" s="20">
        <f>'2022(пеня)'!D135+'2022(пеня)'!I135+'2022(пеня)'!M135+'2022(пеня)'!R135</f>
        <v>15262.64</v>
      </c>
      <c r="M16" s="7">
        <f>'2022(пеня)'!C164+'2022(пеня)'!H164+'2022(пеня)'!L164+'2022(пеня)'!P164</f>
        <v>15319.630000000001</v>
      </c>
      <c r="N16" s="34">
        <f>'2022(пеня)'!D164+'2022(пеня)'!I164+'2022(пеня)'!M164+'2022(пеня)'!R164</f>
        <v>13598.720000000001</v>
      </c>
      <c r="O16" s="7">
        <f>'2022(пеня)'!C193+'2022(пеня)'!H193+'2022(пеня)'!L193+'2022(пеня)'!P193</f>
        <v>15374.51</v>
      </c>
      <c r="P16" s="35">
        <f>'2022(пеня)'!D193+'2022(пеня)'!I193+'2022(пеня)'!M193+'2022(пеня)'!R193</f>
        <v>14123.38</v>
      </c>
      <c r="Q16" s="223">
        <f t="shared" si="0"/>
        <v>91975.23</v>
      </c>
      <c r="R16" s="223">
        <f t="shared" si="1"/>
        <v>86571.5</v>
      </c>
      <c r="S16" s="32">
        <f t="shared" si="2"/>
        <v>5403.730000000001</v>
      </c>
      <c r="T16" s="10">
        <f t="shared" si="3"/>
        <v>1574059.62</v>
      </c>
      <c r="U16" s="43">
        <f t="shared" si="4"/>
        <v>1403084.7</v>
      </c>
      <c r="V16" s="10">
        <f>T16-U16</f>
        <v>170974.92000000016</v>
      </c>
      <c r="W16" s="256"/>
      <c r="X16" s="3"/>
    </row>
    <row r="17" spans="1:24" ht="15">
      <c r="A17" s="13" t="s">
        <v>15</v>
      </c>
      <c r="B17" s="340">
        <v>3141580.9799999995</v>
      </c>
      <c r="C17" s="340">
        <v>2999466.88</v>
      </c>
      <c r="D17" s="341">
        <v>142114.09999999963</v>
      </c>
      <c r="E17" s="502">
        <f>'2022(пеня)'!C49+'2022(пеня)'!I49+'2022(пеня)'!M49+'2022(пеня)'!Q49</f>
        <v>35112.030000000006</v>
      </c>
      <c r="F17" s="503">
        <f>'2022(пеня)'!F49+'2022(пеня)'!J49+'2022(пеня)'!N49+'2022(пеня)'!S49+'Оплата БАНК 1,2,3,4 кв-лы 2022'!B15</f>
        <v>33229.729999999996</v>
      </c>
      <c r="G17" s="12">
        <f>'2022(пеня)'!C78+'2022(пеня)'!H78+'2022(пеня)'!L78+'2022(пеня)'!P78</f>
        <v>35126</v>
      </c>
      <c r="H17" s="27">
        <f>'2022(пеня)'!D78+'2022(пеня)'!I78+'2022(пеня)'!M78+'2022(пеня)'!R78</f>
        <v>32407.34</v>
      </c>
      <c r="I17" s="28">
        <f>'2022(пеня)'!C107+'2022(пеня)'!H107+'2022(пеня)'!L107+'2022(пеня)'!P107</f>
        <v>35285.27</v>
      </c>
      <c r="J17" s="29">
        <f>'2022(пеня)'!D107+'2022(пеня)'!I107+'2022(пеня)'!M107+'2022(пеня)'!R107</f>
        <v>34108.43</v>
      </c>
      <c r="K17" s="3">
        <f>'2022(пеня)'!C136+'2022(пеня)'!H136+'2022(пеня)'!L136+'2022(пеня)'!P136</f>
        <v>35173.329999999994</v>
      </c>
      <c r="L17" s="20">
        <f>'2022(пеня)'!D136+'2022(пеня)'!I136+'2022(пеня)'!M136+'2022(пеня)'!R136</f>
        <v>32782.02</v>
      </c>
      <c r="M17" s="7">
        <f>'2022(пеня)'!C165+'2022(пеня)'!H165+'2022(пеня)'!L165+'2022(пеня)'!P165</f>
        <v>35130.78</v>
      </c>
      <c r="N17" s="34">
        <f>'2022(пеня)'!D165+'2022(пеня)'!I165+'2022(пеня)'!M165+'2022(пеня)'!R165</f>
        <v>31167.809999999998</v>
      </c>
      <c r="O17" s="7">
        <f>'2022(пеня)'!C194+'2022(пеня)'!H194+'2022(пеня)'!L194+'2022(пеня)'!P194</f>
        <v>35170.2</v>
      </c>
      <c r="P17" s="35">
        <f>'2022(пеня)'!D194+'2022(пеня)'!I194+'2022(пеня)'!M194+'2022(пеня)'!R194</f>
        <v>39600.189999999995</v>
      </c>
      <c r="Q17" s="223">
        <f t="shared" si="0"/>
        <v>210997.61</v>
      </c>
      <c r="R17" s="223">
        <f t="shared" si="1"/>
        <v>203295.52</v>
      </c>
      <c r="S17" s="32">
        <f t="shared" si="2"/>
        <v>7702.090000000033</v>
      </c>
      <c r="T17" s="10">
        <f t="shared" si="3"/>
        <v>3352578.5899999994</v>
      </c>
      <c r="U17" s="43">
        <f t="shared" si="4"/>
        <v>3202762.4</v>
      </c>
      <c r="V17" s="10">
        <f t="shared" si="5"/>
        <v>149816.18999999948</v>
      </c>
      <c r="W17" s="256"/>
      <c r="X17" s="3"/>
    </row>
    <row r="18" spans="1:24" ht="15">
      <c r="A18" s="46" t="s">
        <v>16</v>
      </c>
      <c r="B18" s="340">
        <v>2513850.3700000006</v>
      </c>
      <c r="C18" s="340">
        <v>2484285.4400000004</v>
      </c>
      <c r="D18" s="341">
        <v>29564.930000000168</v>
      </c>
      <c r="E18" s="502">
        <f>'2022(пеня)'!C50+'2022(пеня)'!I50+'2022(пеня)'!M50+'2022(пеня)'!Q50</f>
        <v>28537.36</v>
      </c>
      <c r="F18" s="503">
        <f>'2022(пеня)'!F50+'2022(пеня)'!J50+'2022(пеня)'!N50+'2022(пеня)'!S50+'Оплата БАНК 1,2,3,4 кв-лы 2022'!B16</f>
        <v>27761.98</v>
      </c>
      <c r="G18" s="12">
        <f>'2022(пеня)'!C79+'2022(пеня)'!H79+'2022(пеня)'!L79+'2022(пеня)'!P79</f>
        <v>28539.260000000002</v>
      </c>
      <c r="H18" s="27">
        <f>'2022(пеня)'!D79+'2022(пеня)'!I79+'2022(пеня)'!M79+'2022(пеня)'!R79</f>
        <v>32339.66</v>
      </c>
      <c r="I18" s="28">
        <f>'2022(пеня)'!C108+'2022(пеня)'!H108+'2022(пеня)'!L108+'2022(пеня)'!P108</f>
        <v>28537.420000000002</v>
      </c>
      <c r="J18" s="29">
        <f>'2022(пеня)'!D108+'2022(пеня)'!I108+'2022(пеня)'!M108+'2022(пеня)'!R108</f>
        <v>27943.719999999998</v>
      </c>
      <c r="K18" s="3">
        <f>'2022(пеня)'!C137+'2022(пеня)'!H137+'2022(пеня)'!L137+'2022(пеня)'!P137</f>
        <v>28557.02</v>
      </c>
      <c r="L18" s="20">
        <f>'2022(пеня)'!D137+'2022(пеня)'!I137+'2022(пеня)'!M137+'2022(пеня)'!R137</f>
        <v>29086.64</v>
      </c>
      <c r="M18" s="7">
        <f>'2022(пеня)'!C166+'2022(пеня)'!H166+'2022(пеня)'!L166+'2022(пеня)'!P166</f>
        <v>28537.670000000002</v>
      </c>
      <c r="N18" s="34">
        <f>'2022(пеня)'!D166+'2022(пеня)'!I166+'2022(пеня)'!M166+'2022(пеня)'!R166</f>
        <v>28108.53</v>
      </c>
      <c r="O18" s="7">
        <f>'2022(пеня)'!C195+'2022(пеня)'!H195+'2022(пеня)'!L195+'2022(пеня)'!P195</f>
        <v>28772.850000000002</v>
      </c>
      <c r="P18" s="35">
        <f>'2022(пеня)'!D195+'2022(пеня)'!I195+'2022(пеня)'!M195+'2022(пеня)'!R195</f>
        <v>31899.329999999998</v>
      </c>
      <c r="Q18" s="223">
        <f t="shared" si="0"/>
        <v>171481.58000000002</v>
      </c>
      <c r="R18" s="223">
        <f t="shared" si="1"/>
        <v>177139.86</v>
      </c>
      <c r="S18" s="32">
        <f t="shared" si="2"/>
        <v>-5658.279999999995</v>
      </c>
      <c r="T18" s="10">
        <f t="shared" si="3"/>
        <v>2685331.95</v>
      </c>
      <c r="U18" s="43">
        <f t="shared" si="4"/>
        <v>2661425.3000000007</v>
      </c>
      <c r="V18" s="10">
        <f t="shared" si="5"/>
        <v>23906.64999999944</v>
      </c>
      <c r="W18" s="256"/>
      <c r="X18" s="3"/>
    </row>
    <row r="19" spans="1:24" ht="15">
      <c r="A19" s="13" t="s">
        <v>17</v>
      </c>
      <c r="B19" s="340">
        <v>3332964.470000001</v>
      </c>
      <c r="C19" s="340">
        <v>3279223.420000001</v>
      </c>
      <c r="D19" s="341">
        <v>53741.05000000028</v>
      </c>
      <c r="E19" s="502">
        <f>'2022(пеня)'!C51+'2022(пеня)'!I51+'2022(пеня)'!M51+'2022(пеня)'!Q51</f>
        <v>37799.74</v>
      </c>
      <c r="F19" s="503">
        <f>'2022(пеня)'!F51+'2022(пеня)'!J51+'2022(пеня)'!N51+'2022(пеня)'!S51+'Оплата БАНК 1,2,3,4 кв-лы 2022'!B17</f>
        <v>37828.81999999999</v>
      </c>
      <c r="G19" s="12">
        <f>'2022(пеня)'!C80+'2022(пеня)'!H80+'2022(пеня)'!L80+'2022(пеня)'!P80</f>
        <v>37922.78</v>
      </c>
      <c r="H19" s="27">
        <f>'2022(пеня)'!D80+'2022(пеня)'!I80+'2022(пеня)'!M80+'2022(пеня)'!R80</f>
        <v>38346.21</v>
      </c>
      <c r="I19" s="28">
        <f>'2022(пеня)'!C109+'2022(пеня)'!H109+'2022(пеня)'!L109+'2022(пеня)'!P109</f>
        <v>38128.76</v>
      </c>
      <c r="J19" s="29">
        <f>'2022(пеня)'!D109+'2022(пеня)'!I109+'2022(пеня)'!M109+'2022(пеня)'!R109</f>
        <v>43428.42</v>
      </c>
      <c r="K19" s="3">
        <f>'2022(пеня)'!C138+'2022(пеня)'!H138+'2022(пеня)'!L138+'2022(пеня)'!P138</f>
        <v>37816.16</v>
      </c>
      <c r="L19" s="20">
        <f>'2022(пеня)'!D138+'2022(пеня)'!I138+'2022(пеня)'!M138+'2022(пеня)'!R138</f>
        <v>39338.869999999995</v>
      </c>
      <c r="M19" s="7">
        <f>'2022(пеня)'!C167+'2022(пеня)'!H167+'2022(пеня)'!L167+'2022(пеня)'!P167</f>
        <v>37786.15</v>
      </c>
      <c r="N19" s="34">
        <f>'2022(пеня)'!D167+'2022(пеня)'!I167+'2022(пеня)'!M167+'2022(пеня)'!R167</f>
        <v>35843.49</v>
      </c>
      <c r="O19" s="7">
        <f>'2022(пеня)'!C196+'2022(пеня)'!H196+'2022(пеня)'!L196+'2022(пеня)'!P196</f>
        <v>37792.51</v>
      </c>
      <c r="P19" s="35">
        <f>'2022(пеня)'!D196+'2022(пеня)'!I196+'2022(пеня)'!M196+'2022(пеня)'!R196</f>
        <v>39443.590000000004</v>
      </c>
      <c r="Q19" s="223">
        <f t="shared" si="0"/>
        <v>227246.1</v>
      </c>
      <c r="R19" s="223">
        <f t="shared" si="1"/>
        <v>234229.4</v>
      </c>
      <c r="S19" s="32">
        <f t="shared" si="2"/>
        <v>-6983.299999999959</v>
      </c>
      <c r="T19" s="10">
        <f t="shared" si="3"/>
        <v>3560210.5700000008</v>
      </c>
      <c r="U19" s="43">
        <f t="shared" si="4"/>
        <v>3513452.8200000008</v>
      </c>
      <c r="V19" s="10">
        <f t="shared" si="5"/>
        <v>46757.75</v>
      </c>
      <c r="W19" s="256"/>
      <c r="X19" s="3"/>
    </row>
    <row r="20" spans="1:25" ht="15">
      <c r="A20" s="13" t="s">
        <v>18</v>
      </c>
      <c r="B20" s="340">
        <v>7083780.569999998</v>
      </c>
      <c r="C20" s="340">
        <v>6933976.81</v>
      </c>
      <c r="D20" s="341">
        <v>149803.75999999885</v>
      </c>
      <c r="E20" s="502">
        <f>'2022(пеня)'!C52+'2022(пеня)'!I52+'2022(пеня)'!M52+'2022(пеня)'!Q52</f>
        <v>80813.79000000001</v>
      </c>
      <c r="F20" s="503">
        <f>'2022(пеня)'!F52+'2022(пеня)'!J52+'2022(пеня)'!N52+'2022(пеня)'!S52+'Оплата БАНК 1,2,3,4 кв-лы 2022'!B18</f>
        <v>80183.38</v>
      </c>
      <c r="G20" s="12">
        <f>'2022(пеня)'!C81+'2022(пеня)'!H81+'2022(пеня)'!L81+'2022(пеня)'!P81</f>
        <v>81108.11</v>
      </c>
      <c r="H20" s="27">
        <f>'2022(пеня)'!D81+'2022(пеня)'!I81+'2022(пеня)'!M81+'2022(пеня)'!R81</f>
        <v>81052.01000000001</v>
      </c>
      <c r="I20" s="28">
        <f>'2022(пеня)'!C110+'2022(пеня)'!H110+'2022(пеня)'!L110+'2022(пеня)'!P110</f>
        <v>80945.02</v>
      </c>
      <c r="J20" s="29">
        <f>'2022(пеня)'!D110+'2022(пеня)'!I110+'2022(пеня)'!M110+'2022(пеня)'!R110</f>
        <v>80168.69</v>
      </c>
      <c r="K20" s="3">
        <f>'2022(пеня)'!C139+'2022(пеня)'!H139+'2022(пеня)'!L139+'2022(пеня)'!P139</f>
        <v>80785.39</v>
      </c>
      <c r="L20" s="20">
        <f>'2022(пеня)'!D139+'2022(пеня)'!I139+'2022(пеня)'!M139+'2022(пеня)'!R139</f>
        <v>83425.14</v>
      </c>
      <c r="M20" s="7">
        <f>'2022(пеня)'!C168+'2022(пеня)'!H168+'2022(пеня)'!L168+'2022(пеня)'!P168</f>
        <v>80851.94000000002</v>
      </c>
      <c r="N20" s="34">
        <f>'2022(пеня)'!D168+'2022(пеня)'!I168+'2022(пеня)'!M168+'2022(пеня)'!R168</f>
        <v>85500.8</v>
      </c>
      <c r="O20" s="7">
        <f>'2022(пеня)'!C197+'2022(пеня)'!H197+'2022(пеня)'!L197+'2022(пеня)'!P197</f>
        <v>80945.34</v>
      </c>
      <c r="P20" s="35">
        <f>'2022(пеня)'!D197+'2022(пеня)'!I197+'2022(пеня)'!M197+'2022(пеня)'!R197</f>
        <v>80549.55</v>
      </c>
      <c r="Q20" s="223">
        <f t="shared" si="0"/>
        <v>485449.5900000001</v>
      </c>
      <c r="R20" s="223">
        <f t="shared" si="1"/>
        <v>490879.57</v>
      </c>
      <c r="S20" s="32">
        <f t="shared" si="2"/>
        <v>-5429.979999999952</v>
      </c>
      <c r="T20" s="10">
        <f t="shared" si="3"/>
        <v>7569230.159999998</v>
      </c>
      <c r="U20" s="43">
        <f t="shared" si="4"/>
        <v>7424856.379999999</v>
      </c>
      <c r="V20" s="10">
        <f t="shared" si="5"/>
        <v>144373.77999999933</v>
      </c>
      <c r="W20" s="256"/>
      <c r="X20" s="3"/>
      <c r="Y20" s="224"/>
    </row>
    <row r="21" spans="1:25" ht="15" customHeight="1">
      <c r="A21" s="46" t="s">
        <v>54</v>
      </c>
      <c r="B21" s="340">
        <v>3186921.68</v>
      </c>
      <c r="C21" s="340">
        <v>2961669.0999999996</v>
      </c>
      <c r="D21" s="341">
        <v>225252.58000000054</v>
      </c>
      <c r="E21" s="502">
        <f>'2022(пеня)'!C53+'2022(пеня)'!I53+'2022(пеня)'!M53+'2022(пеня)'!Q53</f>
        <v>33923.32</v>
      </c>
      <c r="F21" s="503">
        <f>'2022(пеня)'!F53+'2022(пеня)'!J53+'2022(пеня)'!N53+'2022(пеня)'!S53+'Оплата БАНК 1,2,3,4 кв-лы 2022'!B19</f>
        <v>31232.57</v>
      </c>
      <c r="G21" s="12">
        <f>'2022(пеня)'!C82+'2022(пеня)'!H82+'2022(пеня)'!L82+'2022(пеня)'!P82</f>
        <v>33896.07</v>
      </c>
      <c r="H21" s="27">
        <f>'2022(пеня)'!D82+'2022(пеня)'!I82+'2022(пеня)'!M82+'2022(пеня)'!R82</f>
        <v>32917.689999999995</v>
      </c>
      <c r="I21" s="28">
        <f>'2022(пеня)'!C111+'2022(пеня)'!H111+'2022(пеня)'!L111+'2022(пеня)'!P111</f>
        <v>34136.79</v>
      </c>
      <c r="J21" s="29">
        <f>'2022(пеня)'!D111+'2022(пеня)'!I111+'2022(пеня)'!M111+'2022(пеня)'!R111</f>
        <v>35496.69</v>
      </c>
      <c r="K21" s="3">
        <f>'2022(пеня)'!C140+'2022(пеня)'!H140+'2022(пеня)'!L140+'2022(пеня)'!P140</f>
        <v>34039.28</v>
      </c>
      <c r="L21" s="20">
        <f>'2022(пеня)'!D140+'2022(пеня)'!I140+'2022(пеня)'!M140+'2022(пеня)'!R140</f>
        <v>34176</v>
      </c>
      <c r="M21" s="7">
        <f>'2022(пеня)'!C169+'2022(пеня)'!H169+'2022(пеня)'!L169+'2022(пеня)'!P169</f>
        <v>33878.43</v>
      </c>
      <c r="N21" s="34">
        <f>'2022(пеня)'!D169+'2022(пеня)'!I169+'2022(пеня)'!M169+'2022(пеня)'!R169</f>
        <v>32662.449999999997</v>
      </c>
      <c r="O21" s="7">
        <f>'2022(пеня)'!C198+'2022(пеня)'!H198+'2022(пеня)'!L198+'2022(пеня)'!P198</f>
        <v>34066.049999999996</v>
      </c>
      <c r="P21" s="35">
        <f>'2022(пеня)'!D198+'2022(пеня)'!I198+'2022(пеня)'!M198+'2022(пеня)'!R198</f>
        <v>35805.26</v>
      </c>
      <c r="Q21" s="223">
        <f t="shared" si="0"/>
        <v>203939.93999999997</v>
      </c>
      <c r="R21" s="223">
        <f t="shared" si="1"/>
        <v>202290.66000000003</v>
      </c>
      <c r="S21" s="32">
        <f t="shared" si="2"/>
        <v>1649.2799999999625</v>
      </c>
      <c r="T21" s="10">
        <f t="shared" si="3"/>
        <v>3390861.6199999996</v>
      </c>
      <c r="U21" s="43">
        <f t="shared" si="4"/>
        <v>3163959.7599999993</v>
      </c>
      <c r="V21" s="10">
        <f t="shared" si="5"/>
        <v>226901.86000000034</v>
      </c>
      <c r="W21" s="256"/>
      <c r="X21" s="3"/>
      <c r="Y21" s="224"/>
    </row>
    <row r="22" spans="1:25" ht="15" customHeight="1">
      <c r="A22" s="46" t="s">
        <v>49</v>
      </c>
      <c r="B22" s="340">
        <v>6670254.77</v>
      </c>
      <c r="C22" s="340">
        <v>6529055.579999998</v>
      </c>
      <c r="D22" s="341">
        <v>141199.19000000134</v>
      </c>
      <c r="E22" s="502">
        <f>'2022(пеня)'!C54+'2022(пеня)'!I54+'2022(пеня)'!M54+'2022(пеня)'!Q54</f>
        <v>75882.99</v>
      </c>
      <c r="F22" s="503">
        <f>'2022(пеня)'!F54+'2022(пеня)'!J54+'2022(пеня)'!N54+'2022(пеня)'!S54+'Оплата БАНК 1,2,3,4 кв-лы 2022'!B20</f>
        <v>77596.62</v>
      </c>
      <c r="G22" s="12">
        <f>'2022(пеня)'!C83+'2022(пеня)'!H83+'2022(пеня)'!L83+'2022(пеня)'!P83</f>
        <v>75359.14</v>
      </c>
      <c r="H22" s="27">
        <f>'2022(пеня)'!D83+'2022(пеня)'!I83+'2022(пеня)'!M83+'2022(пеня)'!R83</f>
        <v>69035.99</v>
      </c>
      <c r="I22" s="28">
        <f>'2022(пеня)'!C112+'2022(пеня)'!H112+'2022(пеня)'!L112+'2022(пеня)'!P112</f>
        <v>76363.86</v>
      </c>
      <c r="J22" s="29">
        <f>'2022(пеня)'!D112+'2022(пеня)'!I112+'2022(пеня)'!M112+'2022(пеня)'!R112</f>
        <v>79704.07</v>
      </c>
      <c r="K22" s="3">
        <f>'2022(пеня)'!C141+'2022(пеня)'!H141+'2022(пеня)'!L141+'2022(пеня)'!P141</f>
        <v>75412.44</v>
      </c>
      <c r="L22" s="20">
        <f>'2022(пеня)'!D141+'2022(пеня)'!I141+'2022(пеня)'!M141+'2022(пеня)'!R141</f>
        <v>65411.13</v>
      </c>
      <c r="M22" s="7">
        <f>'2022(пеня)'!C170+'2022(пеня)'!H170+'2022(пеня)'!L170+'2022(пеня)'!P170</f>
        <v>75478.99</v>
      </c>
      <c r="N22" s="34">
        <f>'2022(пеня)'!D170+'2022(пеня)'!I170+'2022(пеня)'!M170+'2022(пеня)'!R170</f>
        <v>75669.69</v>
      </c>
      <c r="O22" s="7">
        <f>'2022(пеня)'!C199+'2022(пеня)'!H199+'2022(пеня)'!L199+'2022(пеня)'!P199</f>
        <v>75892.73</v>
      </c>
      <c r="P22" s="35">
        <f>'2022(пеня)'!D199+'2022(пеня)'!I199+'2022(пеня)'!M199+'2022(пеня)'!R199</f>
        <v>73042.41</v>
      </c>
      <c r="Q22" s="223">
        <f t="shared" si="0"/>
        <v>454390.14999999997</v>
      </c>
      <c r="R22" s="223">
        <f t="shared" si="1"/>
        <v>440459.91000000003</v>
      </c>
      <c r="S22" s="32">
        <f t="shared" si="2"/>
        <v>13930.239999999962</v>
      </c>
      <c r="T22" s="10">
        <f t="shared" si="3"/>
        <v>7124644.920000001</v>
      </c>
      <c r="U22" s="43">
        <f t="shared" si="4"/>
        <v>6969515.489999999</v>
      </c>
      <c r="V22" s="10">
        <f t="shared" si="5"/>
        <v>155129.43000000156</v>
      </c>
      <c r="W22" s="256"/>
      <c r="X22" s="3"/>
      <c r="Y22" s="224"/>
    </row>
    <row r="23" spans="1:24" ht="15">
      <c r="A23" s="13" t="s">
        <v>19</v>
      </c>
      <c r="B23" s="340">
        <v>4762141.55</v>
      </c>
      <c r="C23" s="340">
        <v>4722237.409999998</v>
      </c>
      <c r="D23" s="341">
        <v>39904.1400000015</v>
      </c>
      <c r="E23" s="502">
        <f>'2022(пеня)'!C55+'2022(пеня)'!I55+'2022(пеня)'!M55+'2022(пеня)'!Q55</f>
        <v>54582.92</v>
      </c>
      <c r="F23" s="503">
        <f>'2022(пеня)'!F55+'2022(пеня)'!J55+'2022(пеня)'!N55+'2022(пеня)'!S55+'Оплата БАНК 1,2,3,4 кв-лы 2022'!B21</f>
        <v>54560.99</v>
      </c>
      <c r="G23" s="12">
        <f>'2022(пеня)'!C84+'2022(пеня)'!H84+'2022(пеня)'!L84+'2022(пеня)'!P84</f>
        <v>54539.68</v>
      </c>
      <c r="H23" s="27">
        <f>'2022(пеня)'!D84+'2022(пеня)'!I84+'2022(пеня)'!M84+'2022(пеня)'!R84</f>
        <v>55975.99</v>
      </c>
      <c r="I23" s="28">
        <f>'2022(пеня)'!C113+'2022(пеня)'!H113+'2022(пеня)'!L113+'2022(пеня)'!P113</f>
        <v>55306.170000000006</v>
      </c>
      <c r="J23" s="29">
        <f>'2022(пеня)'!D113+'2022(пеня)'!I113+'2022(пеня)'!M113+'2022(пеня)'!R113</f>
        <v>56240.600000000006</v>
      </c>
      <c r="K23" s="3">
        <f>'2022(пеня)'!C142+'2022(пеня)'!H142+'2022(пеня)'!L142+'2022(пеня)'!P142</f>
        <v>54381.62</v>
      </c>
      <c r="L23" s="20">
        <f>'2022(пеня)'!D142+'2022(пеня)'!I142+'2022(пеня)'!M142+'2022(пеня)'!R142</f>
        <v>51368.8</v>
      </c>
      <c r="M23" s="7">
        <f>'2022(пеня)'!C171+'2022(пеня)'!H171+'2022(пеня)'!L171+'2022(пеня)'!P171</f>
        <v>54391.490000000005</v>
      </c>
      <c r="N23" s="34">
        <f>'2022(пеня)'!D171+'2022(пеня)'!I171+'2022(пеня)'!M171+'2022(пеня)'!R171</f>
        <v>55219.42</v>
      </c>
      <c r="O23" s="7">
        <f>'2022(пеня)'!C200+'2022(пеня)'!H200+'2022(пеня)'!L200+'2022(пеня)'!P200</f>
        <v>54317.91</v>
      </c>
      <c r="P23" s="35">
        <f>'2022(пеня)'!D200+'2022(пеня)'!I200+'2022(пеня)'!M200+'2022(пеня)'!R200</f>
        <v>52609.15</v>
      </c>
      <c r="Q23" s="223">
        <f t="shared" si="0"/>
        <v>327519.79000000004</v>
      </c>
      <c r="R23" s="223">
        <f t="shared" si="1"/>
        <v>325974.95</v>
      </c>
      <c r="S23" s="32">
        <f t="shared" si="2"/>
        <v>1544.8400000000474</v>
      </c>
      <c r="T23" s="10">
        <f t="shared" si="3"/>
        <v>5089661.34</v>
      </c>
      <c r="U23" s="43">
        <f t="shared" si="4"/>
        <v>5048212.3599999985</v>
      </c>
      <c r="V23" s="10">
        <f t="shared" si="5"/>
        <v>41448.98000000138</v>
      </c>
      <c r="W23" s="256"/>
      <c r="X23" s="3"/>
    </row>
    <row r="24" spans="1:24" ht="15">
      <c r="A24" s="42" t="s">
        <v>20</v>
      </c>
      <c r="B24" s="342">
        <v>3075518.25</v>
      </c>
      <c r="C24" s="342">
        <v>3064153.13</v>
      </c>
      <c r="D24" s="343">
        <v>11365.120000000112</v>
      </c>
      <c r="E24" s="502">
        <f>'2022(пеня)'!C56+'2022(пеня)'!I56+'2022(пеня)'!M56+'2022(пеня)'!Q56</f>
        <v>34965</v>
      </c>
      <c r="F24" s="503">
        <f>'2022(пеня)'!F56+'2022(пеня)'!J56+'2022(пеня)'!N56+'2022(пеня)'!S56+'Оплата БАНК 1,2,3,4 кв-лы 2022'!B22</f>
        <v>31557.18</v>
      </c>
      <c r="G24" s="12">
        <f>'2022(пеня)'!C85+'2022(пеня)'!H85+'2022(пеня)'!L85+'2022(пеня)'!P85</f>
        <v>34985.25</v>
      </c>
      <c r="H24" s="27">
        <f>'2022(пеня)'!D85+'2022(пеня)'!I85+'2022(пеня)'!M85+'2022(пеня)'!R85</f>
        <v>32780.01</v>
      </c>
      <c r="I24" s="28">
        <f>'2022(пеня)'!C114+'2022(пеня)'!H114+'2022(пеня)'!L114+'2022(пеня)'!P114</f>
        <v>35076.880000000005</v>
      </c>
      <c r="J24" s="29">
        <f>'2022(пеня)'!D114+'2022(пеня)'!I114+'2022(пеня)'!M114+'2022(пеня)'!R114</f>
        <v>36950.33</v>
      </c>
      <c r="K24" s="3">
        <f>'2022(пеня)'!C143+'2022(пеня)'!H143+'2022(пеня)'!L143+'2022(пеня)'!P143</f>
        <v>34965.29</v>
      </c>
      <c r="L24" s="20">
        <f>'2022(пеня)'!D143+'2022(пеня)'!I143+'2022(пеня)'!M143+'2022(пеня)'!R143</f>
        <v>33592.04</v>
      </c>
      <c r="M24" s="7">
        <f>'2022(пеня)'!C172+'2022(пеня)'!H172+'2022(пеня)'!L172+'2022(пеня)'!P172</f>
        <v>34976.55</v>
      </c>
      <c r="N24" s="34">
        <f>'2022(пеня)'!D172+'2022(пеня)'!I172+'2022(пеня)'!M172+'2022(пеня)'!R172</f>
        <v>33956.409999999996</v>
      </c>
      <c r="O24" s="7">
        <f>'2022(пеня)'!C201+'2022(пеня)'!H201+'2022(пеня)'!L201+'2022(пеня)'!P201</f>
        <v>34970.98</v>
      </c>
      <c r="P24" s="35">
        <f>'2022(пеня)'!D201+'2022(пеня)'!I201+'2022(пеня)'!M201+'2022(пеня)'!R201</f>
        <v>34208</v>
      </c>
      <c r="Q24" s="223">
        <f t="shared" si="0"/>
        <v>209939.95000000004</v>
      </c>
      <c r="R24" s="223">
        <f t="shared" si="1"/>
        <v>203043.97</v>
      </c>
      <c r="S24" s="255">
        <f t="shared" si="2"/>
        <v>6895.980000000047</v>
      </c>
      <c r="T24" s="10">
        <f t="shared" si="3"/>
        <v>3285458.1999999997</v>
      </c>
      <c r="U24" s="43">
        <f t="shared" si="4"/>
        <v>3267197.1</v>
      </c>
      <c r="V24" s="10">
        <f t="shared" si="5"/>
        <v>18261.099999999627</v>
      </c>
      <c r="W24" s="256"/>
      <c r="X24" s="142"/>
    </row>
    <row r="25" spans="1:24" ht="15">
      <c r="A25" s="739" t="s">
        <v>208</v>
      </c>
      <c r="B25" s="219">
        <v>3861295.97</v>
      </c>
      <c r="C25" s="344">
        <v>3742216.96</v>
      </c>
      <c r="D25" s="343">
        <v>119079.01000000024</v>
      </c>
      <c r="E25" s="502">
        <f>'2022(пеня)'!C57+'2022(пеня)'!I57+'2022(пеня)'!M57+'2022(пеня)'!Q57</f>
        <v>43601.67</v>
      </c>
      <c r="F25" s="503">
        <f>'2022(пеня)'!F57+'2022(пеня)'!J57+'2022(пеня)'!N57+'2022(пеня)'!S57+'Оплата БАНК 1,2,3,4 кв-лы 2022'!B23</f>
        <v>43639.67</v>
      </c>
      <c r="G25" s="12">
        <f>'2022(пеня)'!C86+'2022(пеня)'!H86+'2022(пеня)'!L86+'2022(пеня)'!P86</f>
        <v>43579.369999999995</v>
      </c>
      <c r="H25" s="27">
        <f>'2022(пеня)'!D86+'2022(пеня)'!I86+'2022(пеня)'!M86+'2022(пеня)'!R86</f>
        <v>40395.71</v>
      </c>
      <c r="I25" s="28">
        <f>'2022(пеня)'!C115+'2022(пеня)'!H115+'2022(пеня)'!L115+'2022(пеня)'!P115</f>
        <v>43682.53</v>
      </c>
      <c r="J25" s="29">
        <f>'2022(пеня)'!D115+'2022(пеня)'!I115+'2022(пеня)'!M115+'2022(пеня)'!R115</f>
        <v>47491.840000000004</v>
      </c>
      <c r="K25" s="3">
        <f>'2022(пеня)'!C144+'2022(пеня)'!H144+'2022(пеня)'!L144+'2022(пеня)'!P144</f>
        <v>43601.96</v>
      </c>
      <c r="L25" s="20">
        <f>'2022(пеня)'!D144+'2022(пеня)'!I144+'2022(пеня)'!M144+'2022(пеня)'!R144</f>
        <v>43242.74</v>
      </c>
      <c r="M25" s="7">
        <f>'2022(пеня)'!C173+'2022(пеня)'!H173+'2022(пеня)'!L173+'2022(пеня)'!P173</f>
        <v>43541.2</v>
      </c>
      <c r="N25" s="34">
        <f>'2022(пеня)'!D173+'2022(пеня)'!I173+'2022(пеня)'!M173+'2022(пеня)'!R173</f>
        <v>42159.98</v>
      </c>
      <c r="O25" s="7">
        <f>'2022(пеня)'!C202+'2022(пеня)'!H202+'2022(пеня)'!L202+'2022(пеня)'!P202</f>
        <v>43665.759999999995</v>
      </c>
      <c r="P25" s="35">
        <f>'2022(пеня)'!D202+'2022(пеня)'!I202+'2022(пеня)'!M202+'2022(пеня)'!R202</f>
        <v>51243.85</v>
      </c>
      <c r="Q25" s="223">
        <f t="shared" si="0"/>
        <v>261672.49</v>
      </c>
      <c r="R25" s="223">
        <f t="shared" si="1"/>
        <v>268173.79</v>
      </c>
      <c r="S25" s="255">
        <f t="shared" si="2"/>
        <v>-6501.299999999974</v>
      </c>
      <c r="T25" s="10">
        <f t="shared" si="3"/>
        <v>4122968.46</v>
      </c>
      <c r="U25" s="43">
        <f t="shared" si="4"/>
        <v>4010390.75</v>
      </c>
      <c r="V25" s="10">
        <f t="shared" si="5"/>
        <v>112577.70999999996</v>
      </c>
      <c r="W25" s="256"/>
      <c r="X25" s="142"/>
    </row>
    <row r="26" spans="1:24" ht="15">
      <c r="A26" s="337" t="s">
        <v>120</v>
      </c>
      <c r="B26" s="219">
        <v>1324599.6900000006</v>
      </c>
      <c r="C26" s="346">
        <v>1319544.3200000003</v>
      </c>
      <c r="D26" s="343">
        <v>5055.370000000345</v>
      </c>
      <c r="E26" s="502">
        <f>'2022(пеня)'!C58+'2022(пеня)'!I58+'2022(пеня)'!M58+'2022(пеня)'!Q58</f>
        <v>14903.16</v>
      </c>
      <c r="F26" s="503">
        <f>'2022(пеня)'!F58+'2022(пеня)'!J58+'2022(пеня)'!N58+'2022(пеня)'!S58+'Оплата БАНК 1,2,3,4 кв-лы 2022'!B24</f>
        <v>11893.34</v>
      </c>
      <c r="G26" s="12">
        <f>'2022(пеня)'!C87+'2022(пеня)'!H87+'2022(пеня)'!L87+'2022(пеня)'!P87</f>
        <v>14903.36</v>
      </c>
      <c r="H26" s="27">
        <f>'2022(пеня)'!D87+'2022(пеня)'!I87+'2022(пеня)'!M87+'2022(пеня)'!R87</f>
        <v>13435.640000000001</v>
      </c>
      <c r="I26" s="28">
        <f>'2022(пеня)'!C116+'2022(пеня)'!H116+'2022(пеня)'!L116+'2022(пеня)'!P116</f>
        <v>15042.5</v>
      </c>
      <c r="J26" s="29">
        <f>'2022(пеня)'!D116+'2022(пеня)'!I116+'2022(пеня)'!M116+'2022(пеня)'!R116</f>
        <v>16497.34</v>
      </c>
      <c r="K26" s="3">
        <f>'2022(пеня)'!C145+'2022(пеня)'!H145+'2022(пеня)'!L145+'2022(пеня)'!P145</f>
        <v>14919.289999999999</v>
      </c>
      <c r="L26" s="20">
        <f>'2022(пеня)'!D145+'2022(пеня)'!I145+'2022(пеня)'!M145+'2022(пеня)'!R145</f>
        <v>14968.17</v>
      </c>
      <c r="M26" s="7">
        <f>'2022(пеня)'!C174+'2022(пеня)'!H174+'2022(пеня)'!L174+'2022(пеня)'!P174</f>
        <v>14918.4</v>
      </c>
      <c r="N26" s="34">
        <f>'2022(пеня)'!D174+'2022(пеня)'!I174+'2022(пеня)'!M174+'2022(пеня)'!R174</f>
        <v>11988.84</v>
      </c>
      <c r="O26" s="7">
        <f>'2022(пеня)'!C203+'2022(пеня)'!H203+'2022(пеня)'!L203+'2022(пеня)'!P203</f>
        <v>14926.119999999999</v>
      </c>
      <c r="P26" s="35">
        <f>'2022(пеня)'!D203+'2022(пеня)'!I203+'2022(пеня)'!M203+'2022(пеня)'!R203</f>
        <v>16337.189999999999</v>
      </c>
      <c r="Q26" s="223">
        <f t="shared" si="0"/>
        <v>89612.83</v>
      </c>
      <c r="R26" s="223">
        <f t="shared" si="1"/>
        <v>85120.52</v>
      </c>
      <c r="S26" s="255">
        <f t="shared" si="2"/>
        <v>4492.310000000012</v>
      </c>
      <c r="T26" s="10">
        <f t="shared" si="3"/>
        <v>1414212.5200000007</v>
      </c>
      <c r="U26" s="43">
        <f t="shared" si="4"/>
        <v>1404664.8400000003</v>
      </c>
      <c r="V26" s="10">
        <f t="shared" si="5"/>
        <v>9547.6800000004</v>
      </c>
      <c r="W26" s="256"/>
      <c r="X26" s="142"/>
    </row>
    <row r="27" spans="1:24" ht="15">
      <c r="A27" s="13" t="s">
        <v>190</v>
      </c>
      <c r="B27" s="340">
        <v>4001440.89</v>
      </c>
      <c r="C27" s="340">
        <v>3587834.7800000007</v>
      </c>
      <c r="D27" s="341">
        <v>413606.1099999994</v>
      </c>
      <c r="E27" s="502">
        <f>'2022(пеня)'!C59+'2022(пеня)'!I59+'2022(пеня)'!M59+'2022(пеня)'!Q59</f>
        <v>42486.409999999996</v>
      </c>
      <c r="F27" s="503">
        <f>'2022(пеня)'!F59+'2022(пеня)'!J59+'2022(пеня)'!N59+'2022(пеня)'!S59+'Оплата БАНК 1,2,3,4 кв-лы 2022'!B25</f>
        <v>90407.19</v>
      </c>
      <c r="G27" s="12">
        <f>'2022(пеня)'!C88+'2022(пеня)'!H88+'2022(пеня)'!L88+'2022(пеня)'!P88</f>
        <v>41434.57</v>
      </c>
      <c r="H27" s="27">
        <f>'2022(пеня)'!D88+'2022(пеня)'!I88+'2022(пеня)'!M88+'2022(пеня)'!R88</f>
        <v>65316.55</v>
      </c>
      <c r="I27" s="28">
        <f>'2022(пеня)'!C117+'2022(пеня)'!H117+'2022(пеня)'!L117+'2022(пеня)'!P117</f>
        <v>41958.24999999999</v>
      </c>
      <c r="J27" s="29">
        <f>'2022(пеня)'!D117+'2022(пеня)'!I117+'2022(пеня)'!M117+'2022(пеня)'!R117</f>
        <v>63350.14</v>
      </c>
      <c r="K27" s="3">
        <f>'2022(пеня)'!C146+'2022(пеня)'!H146+'2022(пеня)'!L146+'2022(пеня)'!P146</f>
        <v>41732.899999999994</v>
      </c>
      <c r="L27" s="20">
        <f>'2022(пеня)'!D146+'2022(пеня)'!I146+'2022(пеня)'!M146+'2022(пеня)'!R146</f>
        <v>43039.95</v>
      </c>
      <c r="M27" s="7">
        <f>'2022(пеня)'!C175+'2022(пеня)'!H175+'2022(пеня)'!L175+'2022(пеня)'!P175</f>
        <v>41399.42</v>
      </c>
      <c r="N27" s="34">
        <f>'2022(пеня)'!D175+'2022(пеня)'!I175+'2022(пеня)'!M175+'2022(пеня)'!R175</f>
        <v>39747.79</v>
      </c>
      <c r="O27" s="7">
        <f>'2022(пеня)'!C204+'2022(пеня)'!H204+'2022(пеня)'!L204+'2022(пеня)'!P204</f>
        <v>41441.74999999999</v>
      </c>
      <c r="P27" s="35">
        <f>'2022(пеня)'!D204+'2022(пеня)'!I204+'2022(пеня)'!M204+'2022(пеня)'!R204</f>
        <v>42371.44</v>
      </c>
      <c r="Q27" s="223">
        <f t="shared" si="0"/>
        <v>250453.3</v>
      </c>
      <c r="R27" s="223">
        <f t="shared" si="1"/>
        <v>344233.06</v>
      </c>
      <c r="S27" s="255">
        <f t="shared" si="2"/>
        <v>-93779.76000000001</v>
      </c>
      <c r="T27" s="10">
        <f t="shared" si="3"/>
        <v>4251894.19</v>
      </c>
      <c r="U27" s="43">
        <f t="shared" si="4"/>
        <v>3932067.840000001</v>
      </c>
      <c r="V27" s="10">
        <f t="shared" si="5"/>
        <v>319826.3499999996</v>
      </c>
      <c r="W27" s="256"/>
      <c r="X27" s="142"/>
    </row>
    <row r="28" spans="1:24" ht="15">
      <c r="A28" s="337" t="s">
        <v>191</v>
      </c>
      <c r="B28" s="345">
        <v>4795792.899999999</v>
      </c>
      <c r="C28" s="346">
        <v>4044946.43</v>
      </c>
      <c r="D28" s="343">
        <v>750846.4699999993</v>
      </c>
      <c r="E28" s="502">
        <f>'2022(пеня)'!C60+'2022(пеня)'!I60+'2022(пеня)'!M60+'2022(пеня)'!Q60</f>
        <v>49102.58000000001</v>
      </c>
      <c r="F28" s="503">
        <f>'2022(пеня)'!F60+'2022(пеня)'!J60+'2022(пеня)'!N60+'2022(пеня)'!S60+'Оплата БАНК 1,2,3,4 кв-лы 2022'!B26</f>
        <v>66395.73</v>
      </c>
      <c r="G28" s="12">
        <f>'2022(пеня)'!C89+'2022(пеня)'!H89+'2022(пеня)'!L89+'2022(пеня)'!P89</f>
        <v>49784.100000000006</v>
      </c>
      <c r="H28" s="27">
        <f>'2022(пеня)'!D89+'2022(пеня)'!I89+'2022(пеня)'!M89+'2022(пеня)'!R89</f>
        <v>86409.31</v>
      </c>
      <c r="I28" s="28">
        <f>'2022(пеня)'!C118+'2022(пеня)'!H118+'2022(пеня)'!L118+'2022(пеня)'!P118</f>
        <v>52292.520000000004</v>
      </c>
      <c r="J28" s="29">
        <f>'2022(пеня)'!D118+'2022(пеня)'!I118+'2022(пеня)'!M118+'2022(пеня)'!R118</f>
        <v>71395.58</v>
      </c>
      <c r="K28" s="3">
        <f>'2022(пеня)'!C147+'2022(пеня)'!H147+'2022(пеня)'!L147+'2022(пеня)'!P147</f>
        <v>49022.07000000001</v>
      </c>
      <c r="L28" s="20">
        <f>'2022(пеня)'!D147+'2022(пеня)'!I147+'2022(пеня)'!M147+'2022(пеня)'!R147</f>
        <v>72707.23</v>
      </c>
      <c r="M28" s="7">
        <f>'2022(пеня)'!C176+'2022(пеня)'!H176+'2022(пеня)'!L176+'2022(пеня)'!P176</f>
        <v>48614.44000000001</v>
      </c>
      <c r="N28" s="34">
        <f>'2022(пеня)'!D176+'2022(пеня)'!I176+'2022(пеня)'!M176+'2022(пеня)'!R176</f>
        <v>55107.02</v>
      </c>
      <c r="O28" s="7">
        <f>'2022(пеня)'!C205+'2022(пеня)'!H205+'2022(пеня)'!L205+'2022(пеня)'!P205</f>
        <v>50715.14</v>
      </c>
      <c r="P28" s="35">
        <f>'2022(пеня)'!D205+'2022(пеня)'!I205+'2022(пеня)'!M205+'2022(пеня)'!R205</f>
        <v>75359.51</v>
      </c>
      <c r="Q28" s="223">
        <f t="shared" si="0"/>
        <v>299530.85000000003</v>
      </c>
      <c r="R28" s="223">
        <f t="shared" si="1"/>
        <v>427374.38</v>
      </c>
      <c r="S28" s="255">
        <f t="shared" si="2"/>
        <v>-127843.52999999994</v>
      </c>
      <c r="T28" s="10">
        <f t="shared" si="3"/>
        <v>5095323.749999999</v>
      </c>
      <c r="U28" s="43">
        <f t="shared" si="4"/>
        <v>4472320.81</v>
      </c>
      <c r="V28" s="10">
        <f t="shared" si="5"/>
        <v>623002.9399999995</v>
      </c>
      <c r="W28" s="256"/>
      <c r="X28" s="142"/>
    </row>
    <row r="29" spans="1:24" ht="15">
      <c r="A29" s="337" t="s">
        <v>256</v>
      </c>
      <c r="B29" s="345">
        <v>4010677.0599999996</v>
      </c>
      <c r="C29" s="346">
        <v>3652714.65</v>
      </c>
      <c r="D29" s="343">
        <v>357962.4099999997</v>
      </c>
      <c r="E29" s="502">
        <f>'2022(пеня)'!C61+'2022(пеня)'!I61+'2022(пеня)'!M61+'2022(пеня)'!Q61</f>
        <v>44327.25000000001</v>
      </c>
      <c r="F29" s="503">
        <f>'2022(пеня)'!F61+'2022(пеня)'!J61+'2022(пеня)'!N61+'2022(пеня)'!S61+'Оплата БАНК 1,2,3,4 кв-лы 2022'!B27</f>
        <v>68168.48</v>
      </c>
      <c r="G29" s="12">
        <f>'2022(пеня)'!C90+'2022(пеня)'!H90+'2022(пеня)'!L90+'2022(пеня)'!P90</f>
        <v>42403.39</v>
      </c>
      <c r="H29" s="27">
        <f>'2022(пеня)'!D90+'2022(пеня)'!I90+'2022(пеня)'!M90+'2022(пеня)'!R90</f>
        <v>49147.310000000005</v>
      </c>
      <c r="I29" s="28">
        <f>'2022(пеня)'!C119+'2022(пеня)'!H119+'2022(пеня)'!L119+'2022(пеня)'!P119</f>
        <v>43017.88</v>
      </c>
      <c r="J29" s="29">
        <f>'2022(пеня)'!D119+'2022(пеня)'!I119+'2022(пеня)'!M119+'2022(пеня)'!R119</f>
        <v>60220.25</v>
      </c>
      <c r="K29" s="3">
        <f>'2022(пеня)'!C148+'2022(пеня)'!H148+'2022(пеня)'!L148+'2022(пеня)'!P148</f>
        <v>42701.75</v>
      </c>
      <c r="L29" s="20">
        <f>'2022(пеня)'!D148+'2022(пеня)'!I148+'2022(пеня)'!M148+'2022(пеня)'!R148</f>
        <v>65102.600000000006</v>
      </c>
      <c r="M29" s="7">
        <f>'2022(пеня)'!C177+'2022(пеня)'!H177+'2022(пеня)'!L177+'2022(пеня)'!P177</f>
        <v>43704.01</v>
      </c>
      <c r="N29" s="34">
        <f>'2022(пеня)'!D177+'2022(пеня)'!I177+'2022(пеня)'!M177+'2022(пеня)'!R177</f>
        <v>41952.119999999995</v>
      </c>
      <c r="O29" s="7">
        <f>'2022(пеня)'!C206+'2022(пеня)'!H206+'2022(пеня)'!L206+'2022(пеня)'!P206</f>
        <v>43448.46000000001</v>
      </c>
      <c r="P29" s="35">
        <f>'2022(пеня)'!D206+'2022(пеня)'!I206+'2022(пеня)'!M206+'2022(пеня)'!R206</f>
        <v>48955.409999999996</v>
      </c>
      <c r="Q29" s="223">
        <f t="shared" si="0"/>
        <v>259602.74000000005</v>
      </c>
      <c r="R29" s="223">
        <f t="shared" si="1"/>
        <v>333546.17</v>
      </c>
      <c r="S29" s="255">
        <f t="shared" si="2"/>
        <v>-73943.42999999993</v>
      </c>
      <c r="T29" s="10">
        <f t="shared" si="3"/>
        <v>4270279.8</v>
      </c>
      <c r="U29" s="43">
        <f t="shared" si="4"/>
        <v>3986260.8200000003</v>
      </c>
      <c r="V29" s="10">
        <f t="shared" si="5"/>
        <v>284018.9799999995</v>
      </c>
      <c r="W29" s="256"/>
      <c r="X29" s="142"/>
    </row>
    <row r="30" spans="1:24" ht="15.75" thickBot="1">
      <c r="A30" s="337" t="s">
        <v>257</v>
      </c>
      <c r="B30" s="345">
        <v>1397978.78</v>
      </c>
      <c r="C30" s="346">
        <v>1260241.36</v>
      </c>
      <c r="D30" s="343">
        <v>137737.41999999993</v>
      </c>
      <c r="E30" s="502">
        <f>'2022(пеня)'!C62+'2022(пеня)'!I62+'2022(пеня)'!M62+'2022(пеня)'!Q62</f>
        <v>154191.66</v>
      </c>
      <c r="F30" s="503">
        <f>'2022(пеня)'!F62+'2022(пеня)'!J62+'2022(пеня)'!N62+'2022(пеня)'!S62+'Оплата БАНК 1,2,3,4 кв-лы 2022'!B28</f>
        <v>13548.859999999999</v>
      </c>
      <c r="G30" s="12">
        <f>'2022(пеня)'!C91+'2022(пеня)'!H91+'2022(пеня)'!L91+'2022(пеня)'!P91</f>
        <v>15750.73</v>
      </c>
      <c r="H30" s="27">
        <f>'2022(пеня)'!D91+'2022(пеня)'!I91+'2022(пеня)'!M91+'2022(пеня)'!R91</f>
        <v>42501.78</v>
      </c>
      <c r="I30" s="28">
        <f>'2022(пеня)'!C120+'2022(пеня)'!H120+'2022(пеня)'!L120+'2022(пеня)'!P120</f>
        <v>15892.32</v>
      </c>
      <c r="J30" s="29">
        <f>'2022(пеня)'!D120+'2022(пеня)'!I120+'2022(пеня)'!M120+'2022(пеня)'!R120</f>
        <v>30018.02</v>
      </c>
      <c r="K30" s="3">
        <f>'2022(пеня)'!C149+'2022(пеня)'!H149+'2022(пеня)'!L149+'2022(пеня)'!P149</f>
        <v>15794.529999999999</v>
      </c>
      <c r="L30" s="20">
        <f>'2022(пеня)'!D149+'2022(пеня)'!I149+'2022(пеня)'!M149+'2022(пеня)'!R149</f>
        <v>17318.43</v>
      </c>
      <c r="M30" s="7">
        <f>'2022(пеня)'!C178+'2022(пеня)'!H178+'2022(пеня)'!L178+'2022(пеня)'!P178</f>
        <v>15749.66</v>
      </c>
      <c r="N30" s="34">
        <f>'2022(пеня)'!D178+'2022(пеня)'!I178+'2022(пеня)'!M178+'2022(пеня)'!R178</f>
        <v>9648.54</v>
      </c>
      <c r="O30" s="7">
        <f>'2022(пеня)'!C207+'2022(пеня)'!H207+'2022(пеня)'!L207+'2022(пеня)'!P207</f>
        <v>15758.5</v>
      </c>
      <c r="P30" s="35">
        <f>'2022(пеня)'!D207+'2022(пеня)'!I207+'2022(пеня)'!M207+'2022(пеня)'!R207</f>
        <v>7068.0599999999995</v>
      </c>
      <c r="Q30" s="223">
        <f t="shared" si="0"/>
        <v>233137.40000000002</v>
      </c>
      <c r="R30" s="223">
        <f t="shared" si="1"/>
        <v>120103.69</v>
      </c>
      <c r="S30" s="255">
        <f t="shared" si="2"/>
        <v>113033.71000000005</v>
      </c>
      <c r="T30" s="10">
        <f t="shared" si="3"/>
        <v>1631116.18</v>
      </c>
      <c r="U30" s="43">
        <f t="shared" si="4"/>
        <v>1380345.0500000003</v>
      </c>
      <c r="V30" s="10">
        <f t="shared" si="5"/>
        <v>250771.12999999966</v>
      </c>
      <c r="W30" s="256"/>
      <c r="X30" s="142"/>
    </row>
    <row r="31" spans="1:24" ht="15">
      <c r="A31" s="347" t="s">
        <v>21</v>
      </c>
      <c r="B31" s="348">
        <f aca="true" t="shared" si="6" ref="B31:H31">SUM(B6:B30)</f>
        <v>80570136.81</v>
      </c>
      <c r="C31" s="349">
        <f t="shared" si="6"/>
        <v>76126295.67000002</v>
      </c>
      <c r="D31" s="349">
        <f t="shared" si="6"/>
        <v>4443841.1400000015</v>
      </c>
      <c r="E31" s="485">
        <f t="shared" si="6"/>
        <v>1008733.7400000002</v>
      </c>
      <c r="F31" s="485">
        <f t="shared" si="6"/>
        <v>948324.9999999999</v>
      </c>
      <c r="G31" s="486">
        <f t="shared" si="6"/>
        <v>873513.7499999999</v>
      </c>
      <c r="H31" s="486">
        <f t="shared" si="6"/>
        <v>937133.79</v>
      </c>
      <c r="I31" s="486">
        <f aca="true" t="shared" si="7" ref="I31:P31">SUM(I6:I30)</f>
        <v>880986.02</v>
      </c>
      <c r="J31" s="486">
        <f t="shared" si="7"/>
        <v>977785.1299999998</v>
      </c>
      <c r="K31" s="333">
        <f t="shared" si="7"/>
        <v>873419.5000000002</v>
      </c>
      <c r="L31" s="333">
        <f t="shared" si="7"/>
        <v>901357.3800000001</v>
      </c>
      <c r="M31" s="334">
        <f t="shared" si="7"/>
        <v>875876.1500000003</v>
      </c>
      <c r="N31" s="334">
        <f t="shared" si="7"/>
        <v>877919.3</v>
      </c>
      <c r="O31" s="334">
        <f t="shared" si="7"/>
        <v>874093.63</v>
      </c>
      <c r="P31" s="335">
        <f t="shared" si="7"/>
        <v>897090.68</v>
      </c>
      <c r="Q31" s="336">
        <f>E31+G31+I31+K31+M31+O31</f>
        <v>5386622.790000001</v>
      </c>
      <c r="R31" s="336">
        <f>F31+H31+J31+L31+N31+P31</f>
        <v>5539611.279999999</v>
      </c>
      <c r="S31" s="487">
        <f>SUM(S8:S28)</f>
        <v>-160827.7999999999</v>
      </c>
      <c r="T31" s="48">
        <f>SUM(T6:T30)</f>
        <v>85956759.6</v>
      </c>
      <c r="U31" s="48">
        <f>SUM(U6:U30)</f>
        <v>81665906.95</v>
      </c>
      <c r="V31" s="950">
        <f t="shared" si="5"/>
        <v>4290852.649999991</v>
      </c>
      <c r="W31" s="950">
        <f>SUM(W8:W28)</f>
        <v>0</v>
      </c>
      <c r="X31" s="951">
        <f>SUM(X8:X28)</f>
        <v>0</v>
      </c>
    </row>
    <row r="32" spans="4:29" ht="19.5" thickBot="1">
      <c r="D32" s="39"/>
      <c r="AB32" s="56"/>
      <c r="AC32" s="55"/>
    </row>
    <row r="33" spans="1:30" ht="30" customHeight="1">
      <c r="A33" s="13" t="s">
        <v>1</v>
      </c>
      <c r="B33" s="1688" t="s">
        <v>207</v>
      </c>
      <c r="C33" s="1689"/>
      <c r="D33" s="1690"/>
      <c r="E33" s="1692" t="s">
        <v>41</v>
      </c>
      <c r="F33" s="1706"/>
      <c r="G33" s="1694" t="s">
        <v>42</v>
      </c>
      <c r="H33" s="1707"/>
      <c r="I33" s="1682" t="s">
        <v>43</v>
      </c>
      <c r="J33" s="1683"/>
      <c r="K33" s="1684" t="s">
        <v>44</v>
      </c>
      <c r="L33" s="1685"/>
      <c r="M33" s="1686" t="s">
        <v>45</v>
      </c>
      <c r="N33" s="1687"/>
      <c r="O33" s="1686" t="s">
        <v>46</v>
      </c>
      <c r="P33" s="1687"/>
      <c r="Q33" s="1703" t="s">
        <v>472</v>
      </c>
      <c r="R33" s="1704"/>
      <c r="S33" s="1705"/>
      <c r="T33" s="1679" t="s">
        <v>266</v>
      </c>
      <c r="U33" s="1680"/>
      <c r="V33" s="1680"/>
      <c r="W33" s="1680"/>
      <c r="X33" s="1681"/>
      <c r="Y33" s="141" t="s">
        <v>56</v>
      </c>
      <c r="Z33" s="208"/>
      <c r="AA33" s="657" t="s">
        <v>1</v>
      </c>
      <c r="AB33" s="196"/>
      <c r="AC33" s="196"/>
      <c r="AD33" s="54"/>
    </row>
    <row r="34" spans="1:29" ht="15">
      <c r="A34" s="15"/>
      <c r="B34" s="16" t="s">
        <v>5</v>
      </c>
      <c r="C34" s="16" t="s">
        <v>6</v>
      </c>
      <c r="D34" s="17" t="s">
        <v>34</v>
      </c>
      <c r="E34" s="18" t="s">
        <v>33</v>
      </c>
      <c r="F34" s="19" t="s">
        <v>6</v>
      </c>
      <c r="G34" s="21" t="s">
        <v>33</v>
      </c>
      <c r="H34" s="22" t="s">
        <v>6</v>
      </c>
      <c r="I34" s="23" t="s">
        <v>33</v>
      </c>
      <c r="J34" s="24" t="s">
        <v>6</v>
      </c>
      <c r="K34" s="18" t="s">
        <v>33</v>
      </c>
      <c r="L34" s="19" t="s">
        <v>6</v>
      </c>
      <c r="M34" s="25" t="s">
        <v>33</v>
      </c>
      <c r="N34" s="33" t="s">
        <v>6</v>
      </c>
      <c r="O34" s="25" t="s">
        <v>33</v>
      </c>
      <c r="P34" s="33" t="s">
        <v>6</v>
      </c>
      <c r="Q34" s="30" t="s">
        <v>36</v>
      </c>
      <c r="R34" s="30" t="s">
        <v>26</v>
      </c>
      <c r="S34" s="31" t="s">
        <v>37</v>
      </c>
      <c r="T34" s="221" t="s">
        <v>33</v>
      </c>
      <c r="U34" s="218" t="s">
        <v>102</v>
      </c>
      <c r="V34" s="26" t="s">
        <v>34</v>
      </c>
      <c r="W34" s="37" t="s">
        <v>39</v>
      </c>
      <c r="X34" s="38" t="s">
        <v>40</v>
      </c>
      <c r="Y34" s="193" t="s">
        <v>56</v>
      </c>
      <c r="Z34" s="209" t="s">
        <v>57</v>
      </c>
      <c r="AA34" s="658"/>
      <c r="AB34" s="744" t="s">
        <v>209</v>
      </c>
      <c r="AC34" s="52"/>
    </row>
    <row r="35" spans="1:30" ht="15">
      <c r="A35" s="326" t="s">
        <v>47</v>
      </c>
      <c r="B35" s="254">
        <f aca="true" t="shared" si="8" ref="B35:B59">T6</f>
        <v>1709286.99</v>
      </c>
      <c r="C35" s="254">
        <f aca="true" t="shared" si="9" ref="C35:C59">U6</f>
        <v>1672025.0100000005</v>
      </c>
      <c r="D35" s="327">
        <f aca="true" t="shared" si="10" ref="D35:D59">V6</f>
        <v>37261.979999999516</v>
      </c>
      <c r="E35" s="254">
        <f>'2022(пеня)'!C213+'2022(пеня)'!H213+'2022(пеня)'!L213+'2022(пеня)'!P213</f>
        <v>20423.48</v>
      </c>
      <c r="F35" s="61">
        <f>'2022(пеня)'!D213+'2022(пеня)'!I213+'2022(пеня)'!M213+'2022(пеня)'!R213</f>
        <v>13465.87</v>
      </c>
      <c r="G35" s="48">
        <f>'2022(пеня)'!C244+'2022(пеня)'!H244+'2022(пеня)'!L244+'2022(пеня)'!P244</f>
        <v>19107.81</v>
      </c>
      <c r="H35" s="61">
        <f>'2022(пеня)'!D244+'2022(пеня)'!I244+'2022(пеня)'!M244+'2022(пеня)'!R244</f>
        <v>23776.05</v>
      </c>
      <c r="I35" s="48">
        <f>'2022(пеня)'!C275+'2022(пеня)'!H275+'2022(пеня)'!L275+'2022(пеня)'!P275</f>
        <v>19031.5</v>
      </c>
      <c r="J35" s="61">
        <f>'2022(пеня)'!D275+'2022(пеня)'!I275+'2022(пеня)'!M275+'2022(пеня)'!R275</f>
        <v>14058.24</v>
      </c>
      <c r="K35" s="48">
        <f>'2022(пеня)'!C308+'2022(пеня)'!H308+'2022(пеня)'!L308+'2022(пеня)'!P308</f>
        <v>19012.97</v>
      </c>
      <c r="L35" s="61">
        <f>'2022(пеня)'!D308+'2022(пеня)'!I308+'2022(пеня)'!M308+'2022(пеня)'!R308</f>
        <v>16773.62</v>
      </c>
      <c r="M35" s="48">
        <f>'2022(пеня)'!C339+'2022(пеня)'!H339+'2022(пеня)'!L339+'2022(пеня)'!P339</f>
        <v>19061.940000000002</v>
      </c>
      <c r="N35" s="61">
        <f>'2022(пеня)'!D339+'2022(пеня)'!I339+'2022(пеня)'!M339+'2022(пеня)'!R339</f>
        <v>24256.43</v>
      </c>
      <c r="O35" s="48">
        <f>'2022(пеня)'!C371+'2022(пеня)'!H371+'2022(пеня)'!L371+'2022(пеня)'!P371</f>
        <v>19062.82</v>
      </c>
      <c r="P35" s="61">
        <f>'2022(пеня)'!D371+'2022(пеня)'!I371+'2022(пеня)'!M371+'2022(пеня)'!R371</f>
        <v>29631.359999999997</v>
      </c>
      <c r="Q35" s="273">
        <f>E35+G35+I35+K35+M35+O35</f>
        <v>115700.52000000002</v>
      </c>
      <c r="R35" s="273">
        <f>F35+H35+J35+L35+N35+P35</f>
        <v>121961.56999999999</v>
      </c>
      <c r="S35" s="60">
        <f>Q35-R35</f>
        <v>-6261.049999999974</v>
      </c>
      <c r="T35" s="219">
        <f aca="true" t="shared" si="11" ref="T35:T61">B6+E6+G6+I6+K6+M6+O6+E35+G35+I35+K35+M35+O35</f>
        <v>1824987.51</v>
      </c>
      <c r="U35" s="220">
        <f>C35+F35+H35+J35+L35+N35+P35</f>
        <v>1793986.5800000008</v>
      </c>
      <c r="V35" s="48">
        <f>T35-U35</f>
        <v>31000.929999999236</v>
      </c>
      <c r="W35" s="655">
        <v>505000</v>
      </c>
      <c r="X35" s="48">
        <f>U35-W35</f>
        <v>1288986.5800000008</v>
      </c>
      <c r="Y35" s="194">
        <v>13453.2</v>
      </c>
      <c r="Z35" s="210">
        <f>X35+Y35</f>
        <v>1302439.7800000007</v>
      </c>
      <c r="AA35" s="659" t="s">
        <v>47</v>
      </c>
      <c r="AB35" s="743">
        <f>U35/T35*100</f>
        <v>98.30130727853589</v>
      </c>
      <c r="AC35" s="51"/>
      <c r="AD35" s="39"/>
    </row>
    <row r="36" spans="1:30" ht="15">
      <c r="A36" s="326" t="s">
        <v>53</v>
      </c>
      <c r="B36" s="254">
        <f t="shared" si="8"/>
        <v>3169383.770000001</v>
      </c>
      <c r="C36" s="254">
        <f t="shared" si="9"/>
        <v>2768242.08</v>
      </c>
      <c r="D36" s="327">
        <f t="shared" si="10"/>
        <v>401141.6900000009</v>
      </c>
      <c r="E36" s="254">
        <f>'2022(пеня)'!C214+'2022(пеня)'!H214+'2022(пеня)'!L214+'2022(пеня)'!P214</f>
        <v>30483.96</v>
      </c>
      <c r="F36" s="61">
        <f>'2022(пеня)'!D214+'2022(пеня)'!I214+'2022(пеня)'!M214+'2022(пеня)'!R214</f>
        <v>30326.149999999998</v>
      </c>
      <c r="G36" s="48">
        <f>'2022(пеня)'!C245+'2022(пеня)'!H245+'2022(пеня)'!L245+'2022(пеня)'!P245</f>
        <v>30289.760000000002</v>
      </c>
      <c r="H36" s="61">
        <f>'2022(пеня)'!D245+'2022(пеня)'!I245+'2022(пеня)'!M245+'2022(пеня)'!R245</f>
        <v>32285.15</v>
      </c>
      <c r="I36" s="48">
        <f>'2022(пеня)'!C276+'2022(пеня)'!H276+'2022(пеня)'!L276+'2022(пеня)'!P276</f>
        <v>30268.32</v>
      </c>
      <c r="J36" s="61">
        <f>'2022(пеня)'!D276+'2022(пеня)'!I276+'2022(пеня)'!M276+'2022(пеня)'!R276</f>
        <v>26438.88</v>
      </c>
      <c r="K36" s="48">
        <f>'2022(пеня)'!C309+'2022(пеня)'!H309+'2022(пеня)'!L309+'2022(пеня)'!P309</f>
        <v>30297.39</v>
      </c>
      <c r="L36" s="61">
        <f>'2022(пеня)'!D309+'2022(пеня)'!I309+'2022(пеня)'!M309+'2022(пеня)'!R309</f>
        <v>34412.409999999996</v>
      </c>
      <c r="M36" s="48">
        <f>'2022(пеня)'!C340+'2022(пеня)'!H340+'2022(пеня)'!L340+'2022(пеня)'!P340</f>
        <v>30239.27</v>
      </c>
      <c r="N36" s="61">
        <f>'2022(пеня)'!D340+'2022(пеня)'!I340+'2022(пеня)'!M340+'2022(пеня)'!R340</f>
        <v>27210.179999999997</v>
      </c>
      <c r="O36" s="48">
        <f>'2022(пеня)'!C372+'2022(пеня)'!H372+'2022(пеня)'!L372+'2022(пеня)'!P372</f>
        <v>30356.75</v>
      </c>
      <c r="P36" s="61">
        <f>'2022(пеня)'!D372+'2022(пеня)'!I372+'2022(пеня)'!M372+'2022(пеня)'!R372</f>
        <v>39772.78</v>
      </c>
      <c r="Q36" s="273">
        <f aca="true" t="shared" si="12" ref="Q36:Q59">E36+G36+I36+K36+M36+O36</f>
        <v>181935.45</v>
      </c>
      <c r="R36" s="273">
        <f aca="true" t="shared" si="13" ref="R36:R59">F36+H36+J36+L36+N36+P36</f>
        <v>190445.55</v>
      </c>
      <c r="S36" s="60">
        <f aca="true" t="shared" si="14" ref="S36:S61">Q36-R36</f>
        <v>-8510.099999999977</v>
      </c>
      <c r="T36" s="219">
        <f t="shared" si="11"/>
        <v>3351319.2200000007</v>
      </c>
      <c r="U36" s="220">
        <f aca="true" t="shared" si="15" ref="U36:U61">C36+F36+H36+J36+L36+N36+P36</f>
        <v>2958687.63</v>
      </c>
      <c r="V36" s="47">
        <f>T36-U36</f>
        <v>392631.5900000008</v>
      </c>
      <c r="W36" s="656">
        <f>722339.37+589185.14+46952.33</f>
        <v>1358476.84</v>
      </c>
      <c r="X36" s="48">
        <f aca="true" t="shared" si="16" ref="X36:X60">U36-W36</f>
        <v>1600210.7899999998</v>
      </c>
      <c r="Y36" s="195">
        <v>11817</v>
      </c>
      <c r="Z36" s="211">
        <f aca="true" t="shared" si="17" ref="Z36:Z60">X36+Y36</f>
        <v>1612027.7899999998</v>
      </c>
      <c r="AA36" s="659" t="s">
        <v>53</v>
      </c>
      <c r="AB36" s="743">
        <f aca="true" t="shared" si="18" ref="AB36:AB59">U36/T36*100</f>
        <v>88.28426765027771</v>
      </c>
      <c r="AC36" s="51"/>
      <c r="AD36" s="39"/>
    </row>
    <row r="37" spans="1:30" ht="15">
      <c r="A37" s="326" t="s">
        <v>8</v>
      </c>
      <c r="B37" s="254">
        <f t="shared" si="8"/>
        <v>1574413.77</v>
      </c>
      <c r="C37" s="254">
        <f t="shared" si="9"/>
        <v>1506126.7</v>
      </c>
      <c r="D37" s="327">
        <f t="shared" si="10"/>
        <v>68287.07000000007</v>
      </c>
      <c r="E37" s="254">
        <f>'2022(пеня)'!C215+'2022(пеня)'!H215+'2022(пеня)'!L215+'2022(пеня)'!P215</f>
        <v>0</v>
      </c>
      <c r="F37" s="61">
        <f>'2022(пеня)'!D215+'2022(пеня)'!I215+'2022(пеня)'!M215+'2022(пеня)'!R215</f>
        <v>0</v>
      </c>
      <c r="G37" s="48">
        <f>'2022(пеня)'!C246+'2022(пеня)'!H246+'2022(пеня)'!L246+'2022(пеня)'!P246</f>
        <v>0</v>
      </c>
      <c r="H37" s="61">
        <f>'2022(пеня)'!D246+'2022(пеня)'!I246+'2022(пеня)'!M246+'2022(пеня)'!R246</f>
        <v>0</v>
      </c>
      <c r="I37" s="48">
        <f>'2022(пеня)'!C277+'2022(пеня)'!H277+'2022(пеня)'!L277+'2022(пеня)'!P277</f>
        <v>0</v>
      </c>
      <c r="J37" s="61">
        <f>'2022(пеня)'!D277+'2022(пеня)'!I277+'2022(пеня)'!M277+'2022(пеня)'!R277</f>
        <v>0</v>
      </c>
      <c r="K37" s="48">
        <f>'2022(пеня)'!C310+'2022(пеня)'!H310+'2022(пеня)'!L310+'2022(пеня)'!P310</f>
        <v>0</v>
      </c>
      <c r="L37" s="61">
        <f>'2022(пеня)'!D310+'2022(пеня)'!I310+'2022(пеня)'!M310+'2022(пеня)'!R310</f>
        <v>0</v>
      </c>
      <c r="M37" s="48">
        <f>'2022(пеня)'!C341+'2022(пеня)'!H341+'2022(пеня)'!L341+'2022(пеня)'!P341</f>
        <v>0</v>
      </c>
      <c r="N37" s="61">
        <f>'2022(пеня)'!D341+'2022(пеня)'!I341+'2022(пеня)'!M341+'2022(пеня)'!R341</f>
        <v>0</v>
      </c>
      <c r="O37" s="48">
        <f>'2022(пеня)'!C373+'2022(пеня)'!H373+'2022(пеня)'!L373+'2022(пеня)'!P373</f>
        <v>0</v>
      </c>
      <c r="P37" s="61">
        <f>'2022(пеня)'!D373+'2022(пеня)'!I373+'2022(пеня)'!M373+'2022(пеня)'!R373</f>
        <v>0</v>
      </c>
      <c r="Q37" s="273">
        <f t="shared" si="12"/>
        <v>0</v>
      </c>
      <c r="R37" s="273">
        <f t="shared" si="13"/>
        <v>0</v>
      </c>
      <c r="S37" s="60">
        <f t="shared" si="14"/>
        <v>0</v>
      </c>
      <c r="T37" s="219">
        <f t="shared" si="11"/>
        <v>1574413.77</v>
      </c>
      <c r="U37" s="220">
        <f t="shared" si="15"/>
        <v>1506126.7</v>
      </c>
      <c r="V37" s="48">
        <f>T37-U37</f>
        <v>68287.07000000007</v>
      </c>
      <c r="W37" s="62"/>
      <c r="X37" s="48">
        <f t="shared" si="16"/>
        <v>1506126.7</v>
      </c>
      <c r="Y37" s="194">
        <f>26824.93+28342.24</f>
        <v>55167.17</v>
      </c>
      <c r="Z37" s="210">
        <f t="shared" si="17"/>
        <v>1561293.8699999999</v>
      </c>
      <c r="AA37" s="659" t="s">
        <v>8</v>
      </c>
      <c r="AB37" s="743">
        <f t="shared" si="18"/>
        <v>95.66269863099583</v>
      </c>
      <c r="AC37" s="51"/>
      <c r="AD37" s="39"/>
    </row>
    <row r="38" spans="1:30" ht="15.75" thickBot="1">
      <c r="A38" s="326" t="s">
        <v>51</v>
      </c>
      <c r="B38" s="254">
        <f t="shared" si="8"/>
        <v>7603332.079999998</v>
      </c>
      <c r="C38" s="254">
        <f t="shared" si="9"/>
        <v>6693564.329999999</v>
      </c>
      <c r="D38" s="327">
        <f t="shared" si="10"/>
        <v>909767.7499999991</v>
      </c>
      <c r="E38" s="254">
        <f>'2022(пеня)'!C216+'2022(пеня)'!H216+'2022(пеня)'!L216+'2022(пеня)'!P216</f>
        <v>76934.68</v>
      </c>
      <c r="F38" s="61">
        <f>'2022(пеня)'!D216+'2022(пеня)'!I216+'2022(пеня)'!M216+'2022(пеня)'!R216</f>
        <v>74409.18000000001</v>
      </c>
      <c r="G38" s="48">
        <f>'2022(пеня)'!C247+'2022(пеня)'!H247+'2022(пеня)'!L247+'2022(пеня)'!P247</f>
        <v>75634.35999999999</v>
      </c>
      <c r="H38" s="61">
        <f>'2022(пеня)'!D247+'2022(пеня)'!I247+'2022(пеня)'!M247+'2022(пеня)'!R247</f>
        <v>66010.13</v>
      </c>
      <c r="I38" s="48">
        <f>'2022(пеня)'!C278+'2022(пеня)'!H278+'2022(пеня)'!L278+'2022(пеня)'!P278</f>
        <v>75761.45999999999</v>
      </c>
      <c r="J38" s="61">
        <f>'2022(пеня)'!D278+'2022(пеня)'!I278+'2022(пеня)'!M278+'2022(пеня)'!R278</f>
        <v>69159.71</v>
      </c>
      <c r="K38" s="48">
        <f>'2022(пеня)'!C311+'2022(пеня)'!H311+'2022(пеня)'!L311+'2022(пеня)'!P311</f>
        <v>75743.37999999999</v>
      </c>
      <c r="L38" s="61">
        <f>'2022(пеня)'!D311+'2022(пеня)'!I311+'2022(пеня)'!M311+'2022(пеня)'!R311</f>
        <v>74346.29</v>
      </c>
      <c r="M38" s="48">
        <f>'2022(пеня)'!C342+'2022(пеня)'!H342+'2022(пеня)'!L342+'2022(пеня)'!P342</f>
        <v>75605.54</v>
      </c>
      <c r="N38" s="61">
        <f>'2022(пеня)'!D342+'2022(пеня)'!I342+'2022(пеня)'!M342+'2022(пеня)'!R342</f>
        <v>72187.01</v>
      </c>
      <c r="O38" s="48">
        <f>'2022(пеня)'!C374+'2022(пеня)'!H374+'2022(пеня)'!L374+'2022(пеня)'!P374</f>
        <v>75892.62</v>
      </c>
      <c r="P38" s="61">
        <f>'2022(пеня)'!D374+'2022(пеня)'!I374+'2022(пеня)'!M374+'2022(пеня)'!R374</f>
        <v>105981.58</v>
      </c>
      <c r="Q38" s="273">
        <f t="shared" si="12"/>
        <v>455572.0399999999</v>
      </c>
      <c r="R38" s="273">
        <f t="shared" si="13"/>
        <v>462093.9</v>
      </c>
      <c r="S38" s="60">
        <f t="shared" si="14"/>
        <v>-6521.860000000102</v>
      </c>
      <c r="T38" s="219">
        <f t="shared" si="11"/>
        <v>8058904.119999998</v>
      </c>
      <c r="U38" s="220">
        <f t="shared" si="15"/>
        <v>7155658.229999999</v>
      </c>
      <c r="V38" s="47">
        <f>T38-U38</f>
        <v>903245.8899999997</v>
      </c>
      <c r="W38" s="656">
        <f>2356369.7+1517140</f>
        <v>3873509.7</v>
      </c>
      <c r="X38" s="48">
        <f t="shared" si="16"/>
        <v>3282148.5299999984</v>
      </c>
      <c r="Y38" s="197">
        <f>36475.3+59465.64</f>
        <v>95940.94</v>
      </c>
      <c r="Z38" s="212">
        <f t="shared" si="17"/>
        <v>3378089.4699999983</v>
      </c>
      <c r="AA38" s="659" t="s">
        <v>51</v>
      </c>
      <c r="AB38" s="743">
        <f t="shared" si="18"/>
        <v>88.79195140492627</v>
      </c>
      <c r="AC38" s="51"/>
      <c r="AD38" s="39"/>
    </row>
    <row r="39" spans="1:30" ht="15">
      <c r="A39" s="44" t="s">
        <v>9</v>
      </c>
      <c r="B39" s="254">
        <f t="shared" si="8"/>
        <v>1838833.1699999992</v>
      </c>
      <c r="C39" s="254">
        <f t="shared" si="9"/>
        <v>1732013.6799999997</v>
      </c>
      <c r="D39" s="327">
        <f t="shared" si="10"/>
        <v>106819.48999999953</v>
      </c>
      <c r="E39" s="254">
        <f>'2022(пеня)'!C217+'2022(пеня)'!H217+'2022(пеня)'!L217+'2022(пеня)'!P217</f>
        <v>21195.61</v>
      </c>
      <c r="F39" s="61">
        <f>'2022(пеня)'!D217+'2022(пеня)'!I217+'2022(пеня)'!M217+'2022(пеня)'!R217</f>
        <v>18325.39</v>
      </c>
      <c r="G39" s="48">
        <f>'2022(пеня)'!C248+'2022(пеня)'!H248+'2022(пеня)'!L248+'2022(пеня)'!P248</f>
        <v>19496.59</v>
      </c>
      <c r="H39" s="61">
        <f>'2022(пеня)'!D248+'2022(пеня)'!I248+'2022(пеня)'!M248+'2022(пеня)'!R248</f>
        <v>14781.73</v>
      </c>
      <c r="I39" s="48">
        <f>'2022(пеня)'!C279+'2022(пеня)'!H279+'2022(пеня)'!L279+'2022(пеня)'!P279</f>
        <v>19438.36</v>
      </c>
      <c r="J39" s="61">
        <f>'2022(пеня)'!D279+'2022(пеня)'!I279+'2022(пеня)'!M279+'2022(пеня)'!R279</f>
        <v>15492.76</v>
      </c>
      <c r="K39" s="48">
        <f>'2022(пеня)'!C312+'2022(пеня)'!H312+'2022(пеня)'!L312+'2022(пеня)'!P312</f>
        <v>19537.640000000003</v>
      </c>
      <c r="L39" s="61">
        <f>'2022(пеня)'!D312+'2022(пеня)'!I312+'2022(пеня)'!M312+'2022(пеня)'!R312</f>
        <v>17011.18</v>
      </c>
      <c r="M39" s="48">
        <f>'2022(пеня)'!C343+'2022(пеня)'!H343+'2022(пеня)'!L343+'2022(пеня)'!P343</f>
        <v>19731.02</v>
      </c>
      <c r="N39" s="61">
        <f>'2022(пеня)'!D343+'2022(пеня)'!I343+'2022(пеня)'!M343+'2022(пеня)'!R343</f>
        <v>22001.86</v>
      </c>
      <c r="O39" s="48">
        <f>'2022(пеня)'!C375+'2022(пеня)'!H375+'2022(пеня)'!L375+'2022(пеня)'!P375</f>
        <v>19556.2</v>
      </c>
      <c r="P39" s="61">
        <f>'2022(пеня)'!D375+'2022(пеня)'!I375+'2022(пеня)'!M375+'2022(пеня)'!R375</f>
        <v>23146.769999999997</v>
      </c>
      <c r="Q39" s="273">
        <f t="shared" si="12"/>
        <v>118955.42</v>
      </c>
      <c r="R39" s="273">
        <f t="shared" si="13"/>
        <v>110759.69</v>
      </c>
      <c r="S39" s="60">
        <f t="shared" si="14"/>
        <v>8195.729999999996</v>
      </c>
      <c r="T39" s="219">
        <f t="shared" si="11"/>
        <v>1957788.5899999994</v>
      </c>
      <c r="U39" s="220">
        <f t="shared" si="15"/>
        <v>1842773.3699999996</v>
      </c>
      <c r="V39" s="10">
        <f aca="true" t="shared" si="19" ref="V39:V60">T39-U39</f>
        <v>115015.21999999974</v>
      </c>
      <c r="W39" s="36"/>
      <c r="X39" s="48">
        <f t="shared" si="16"/>
        <v>1842773.3699999996</v>
      </c>
      <c r="Y39" s="204"/>
      <c r="Z39" s="213">
        <f t="shared" si="17"/>
        <v>1842773.3699999996</v>
      </c>
      <c r="AA39" s="660" t="s">
        <v>9</v>
      </c>
      <c r="AB39" s="743">
        <f t="shared" si="18"/>
        <v>94.12524822202586</v>
      </c>
      <c r="AC39" s="51"/>
      <c r="AD39" s="39"/>
    </row>
    <row r="40" spans="1:30" ht="15">
      <c r="A40" s="44" t="s">
        <v>10</v>
      </c>
      <c r="B40" s="254">
        <f t="shared" si="8"/>
        <v>735754.31</v>
      </c>
      <c r="C40" s="254">
        <f t="shared" si="9"/>
        <v>728629.3400000001</v>
      </c>
      <c r="D40" s="327">
        <f t="shared" si="10"/>
        <v>7124.969999999972</v>
      </c>
      <c r="E40" s="254">
        <f>'2022(пеня)'!C218+'2022(пеня)'!H218+'2022(пеня)'!L218+'2022(пеня)'!P218</f>
        <v>7908.150000000001</v>
      </c>
      <c r="F40" s="61">
        <f>'2022(пеня)'!D218+'2022(пеня)'!I218+'2022(пеня)'!M218+'2022(пеня)'!R218</f>
        <v>10210.070000000002</v>
      </c>
      <c r="G40" s="48">
        <f>'2022(пеня)'!C249+'2022(пеня)'!H249+'2022(пеня)'!L249+'2022(пеня)'!P249</f>
        <v>7801.59</v>
      </c>
      <c r="H40" s="61">
        <f>'2022(пеня)'!D249+'2022(пеня)'!I249+'2022(пеня)'!M249+'2022(пеня)'!R249</f>
        <v>8172.37</v>
      </c>
      <c r="I40" s="48">
        <f>'2022(пеня)'!C280+'2022(пеня)'!H280+'2022(пеня)'!L280+'2022(пеня)'!P280</f>
        <v>7799.1900000000005</v>
      </c>
      <c r="J40" s="61">
        <f>'2022(пеня)'!D280+'2022(пеня)'!I280+'2022(пеня)'!M280+'2022(пеня)'!R280</f>
        <v>6996.4800000000005</v>
      </c>
      <c r="K40" s="48">
        <f>'2022(пеня)'!C313+'2022(пеня)'!H313+'2022(пеня)'!L313+'2022(пеня)'!P313</f>
        <v>7801.110000000001</v>
      </c>
      <c r="L40" s="61">
        <f>'2022(пеня)'!D313+'2022(пеня)'!I313+'2022(пеня)'!M313+'2022(пеня)'!R313</f>
        <v>8302.23</v>
      </c>
      <c r="M40" s="48">
        <f>'2022(пеня)'!C344+'2022(пеня)'!H344+'2022(пеня)'!L344+'2022(пеня)'!P344</f>
        <v>7796.320000000001</v>
      </c>
      <c r="N40" s="61">
        <f>'2022(пеня)'!D344+'2022(пеня)'!I344+'2022(пеня)'!M344+'2022(пеня)'!R344</f>
        <v>8113.36</v>
      </c>
      <c r="O40" s="48">
        <f>'2022(пеня)'!C376+'2022(пеня)'!H376+'2022(пеня)'!L376+'2022(пеня)'!P376</f>
        <v>7795.790000000001</v>
      </c>
      <c r="P40" s="61">
        <f>'2022(пеня)'!D376+'2022(пеня)'!I376+'2022(пеня)'!M376+'2022(пеня)'!R376</f>
        <v>7417.34</v>
      </c>
      <c r="Q40" s="273">
        <f t="shared" si="12"/>
        <v>46902.15</v>
      </c>
      <c r="R40" s="273">
        <f t="shared" si="13"/>
        <v>49211.850000000006</v>
      </c>
      <c r="S40" s="60">
        <f>Q40-R40</f>
        <v>-2309.7000000000044</v>
      </c>
      <c r="T40" s="219">
        <f t="shared" si="11"/>
        <v>782656.46</v>
      </c>
      <c r="U40" s="220">
        <f t="shared" si="15"/>
        <v>777841.19</v>
      </c>
      <c r="V40" s="10">
        <f t="shared" si="19"/>
        <v>4815.270000000019</v>
      </c>
      <c r="W40" s="663">
        <f>126001+118416+247608.54</f>
        <v>492025.54000000004</v>
      </c>
      <c r="X40" s="48">
        <f t="shared" si="16"/>
        <v>285815.6499999999</v>
      </c>
      <c r="Y40" s="205"/>
      <c r="Z40" s="214">
        <f t="shared" si="17"/>
        <v>285815.6499999999</v>
      </c>
      <c r="AA40" s="660" t="s">
        <v>10</v>
      </c>
      <c r="AB40" s="743">
        <f t="shared" si="18"/>
        <v>99.38475304988857</v>
      </c>
      <c r="AC40" s="51"/>
      <c r="AD40" s="39"/>
    </row>
    <row r="41" spans="1:30" ht="15">
      <c r="A41" s="328" t="s">
        <v>11</v>
      </c>
      <c r="B41" s="254">
        <f t="shared" si="8"/>
        <v>732919.4400000001</v>
      </c>
      <c r="C41" s="254">
        <f t="shared" si="9"/>
        <v>715580.9000000001</v>
      </c>
      <c r="D41" s="327">
        <f t="shared" si="10"/>
        <v>17338.53999999992</v>
      </c>
      <c r="E41" s="254">
        <f>'2022(пеня)'!C219+'2022(пеня)'!H219+'2022(пеня)'!L219+'2022(пеня)'!P219</f>
        <v>7771.57</v>
      </c>
      <c r="F41" s="61">
        <f>'2022(пеня)'!D219+'2022(пеня)'!I219+'2022(пеня)'!M219+'2022(пеня)'!R219</f>
        <v>7449.92</v>
      </c>
      <c r="G41" s="48">
        <f>'2022(пеня)'!C250+'2022(пеня)'!H250+'2022(пеня)'!L250+'2022(пеня)'!P250</f>
        <v>7771.85</v>
      </c>
      <c r="H41" s="61">
        <f>'2022(пеня)'!D250+'2022(пеня)'!I250+'2022(пеня)'!M250+'2022(пеня)'!R250</f>
        <v>8307.49</v>
      </c>
      <c r="I41" s="48">
        <f>'2022(пеня)'!C281+'2022(пеня)'!H281+'2022(пеня)'!L281+'2022(пеня)'!P281</f>
        <v>7769.94</v>
      </c>
      <c r="J41" s="61">
        <f>'2022(пеня)'!D281+'2022(пеня)'!I281+'2022(пеня)'!M281+'2022(пеня)'!R281</f>
        <v>7416.349999999999</v>
      </c>
      <c r="K41" s="48">
        <f>'2022(пеня)'!C314+'2022(пеня)'!H314+'2022(пеня)'!L314+'2022(пеня)'!P314</f>
        <v>7768.85</v>
      </c>
      <c r="L41" s="61">
        <f>'2022(пеня)'!D314+'2022(пеня)'!I314+'2022(пеня)'!M314+'2022(пеня)'!R314</f>
        <v>6222.95</v>
      </c>
      <c r="M41" s="48">
        <f>'2022(пеня)'!C345+'2022(пеня)'!H345+'2022(пеня)'!L345+'2022(пеня)'!P345</f>
        <v>7771.14</v>
      </c>
      <c r="N41" s="61">
        <f>'2022(пеня)'!D345+'2022(пеня)'!I345+'2022(пеня)'!M345+'2022(пеня)'!R345</f>
        <v>8661.58</v>
      </c>
      <c r="O41" s="48">
        <f>'2022(пеня)'!C377+'2022(пеня)'!H377+'2022(пеня)'!L377+'2022(пеня)'!P377</f>
        <v>7791.28</v>
      </c>
      <c r="P41" s="61">
        <f>'2022(пеня)'!D377+'2022(пеня)'!I377+'2022(пеня)'!M377+'2022(пеня)'!R377</f>
        <v>9453.61</v>
      </c>
      <c r="Q41" s="273">
        <f t="shared" si="12"/>
        <v>46644.63</v>
      </c>
      <c r="R41" s="273">
        <f t="shared" si="13"/>
        <v>47511.9</v>
      </c>
      <c r="S41" s="60">
        <f t="shared" si="14"/>
        <v>-867.2700000000041</v>
      </c>
      <c r="T41" s="219">
        <f t="shared" si="11"/>
        <v>779564.07</v>
      </c>
      <c r="U41" s="220">
        <f t="shared" si="15"/>
        <v>763092.8</v>
      </c>
      <c r="V41" s="48">
        <f t="shared" si="19"/>
        <v>16471.269999999902</v>
      </c>
      <c r="W41" s="655">
        <f>150000+133664</f>
        <v>283664</v>
      </c>
      <c r="X41" s="48">
        <f t="shared" si="16"/>
        <v>479428.80000000005</v>
      </c>
      <c r="Y41" s="206">
        <v>374.46</v>
      </c>
      <c r="Z41" s="210">
        <f t="shared" si="17"/>
        <v>479803.26000000007</v>
      </c>
      <c r="AA41" s="661" t="s">
        <v>11</v>
      </c>
      <c r="AB41" s="743">
        <f t="shared" si="18"/>
        <v>97.88711786062692</v>
      </c>
      <c r="AC41" s="51"/>
      <c r="AD41" s="39"/>
    </row>
    <row r="42" spans="1:30" ht="15.75" thickBot="1">
      <c r="A42" s="44" t="s">
        <v>12</v>
      </c>
      <c r="B42" s="254">
        <f t="shared" si="8"/>
        <v>4381210.149999999</v>
      </c>
      <c r="C42" s="254">
        <f t="shared" si="9"/>
        <v>4308568.05</v>
      </c>
      <c r="D42" s="327">
        <f t="shared" si="10"/>
        <v>72642.09999999963</v>
      </c>
      <c r="E42" s="254">
        <f>'2022(пеня)'!C220+'2022(пеня)'!H220+'2022(пеня)'!L220+'2022(пеня)'!P220</f>
        <v>47056.15</v>
      </c>
      <c r="F42" s="61">
        <f>'2022(пеня)'!D220+'2022(пеня)'!I220+'2022(пеня)'!M220+'2022(пеня)'!R220</f>
        <v>42346.01</v>
      </c>
      <c r="G42" s="48">
        <f>'2022(пеня)'!C251+'2022(пеня)'!H251+'2022(пеня)'!L251+'2022(пеня)'!P251</f>
        <v>46630.04</v>
      </c>
      <c r="H42" s="61">
        <f>'2022(пеня)'!D251+'2022(пеня)'!I251+'2022(пеня)'!M251+'2022(пеня)'!R251</f>
        <v>45558.33</v>
      </c>
      <c r="I42" s="48">
        <f>'2022(пеня)'!C282+'2022(пеня)'!H282+'2022(пеня)'!L282+'2022(пеня)'!P282</f>
        <v>46590.58</v>
      </c>
      <c r="J42" s="61">
        <f>'2022(пеня)'!D282+'2022(пеня)'!I282+'2022(пеня)'!M282+'2022(пеня)'!R282</f>
        <v>47087.380000000005</v>
      </c>
      <c r="K42" s="48">
        <f>'2022(пеня)'!C315+'2022(пеня)'!H315+'2022(пеня)'!L315+'2022(пеня)'!P315</f>
        <v>46618.28</v>
      </c>
      <c r="L42" s="61">
        <f>'2022(пеня)'!D315+'2022(пеня)'!I315+'2022(пеня)'!M315+'2022(пеня)'!R315</f>
        <v>48816.340000000004</v>
      </c>
      <c r="M42" s="48">
        <f>'2022(пеня)'!C346+'2022(пеня)'!H346+'2022(пеня)'!L346+'2022(пеня)'!P346</f>
        <v>46841.560000000005</v>
      </c>
      <c r="N42" s="61">
        <f>'2022(пеня)'!D346+'2022(пеня)'!I346+'2022(пеня)'!M346+'2022(пеня)'!R346</f>
        <v>50308.94</v>
      </c>
      <c r="O42" s="48">
        <f>'2022(пеня)'!C378+'2022(пеня)'!H378+'2022(пеня)'!L378+'2022(пеня)'!P378</f>
        <v>46581.58</v>
      </c>
      <c r="P42" s="61">
        <f>'2022(пеня)'!D378+'2022(пеня)'!I378+'2022(пеня)'!M378+'2022(пеня)'!R378</f>
        <v>51600.78</v>
      </c>
      <c r="Q42" s="273">
        <f t="shared" si="12"/>
        <v>280318.19</v>
      </c>
      <c r="R42" s="273">
        <f t="shared" si="13"/>
        <v>285717.78</v>
      </c>
      <c r="S42" s="60">
        <f t="shared" si="14"/>
        <v>-5399.590000000026</v>
      </c>
      <c r="T42" s="219">
        <f t="shared" si="11"/>
        <v>4661528.34</v>
      </c>
      <c r="U42" s="220">
        <f t="shared" si="15"/>
        <v>4594285.83</v>
      </c>
      <c r="V42" s="10">
        <f t="shared" si="19"/>
        <v>67242.50999999978</v>
      </c>
      <c r="W42" s="36">
        <f>897683.06+2000000+550007</f>
        <v>3447690.06</v>
      </c>
      <c r="X42" s="48">
        <f t="shared" si="16"/>
        <v>1146595.77</v>
      </c>
      <c r="Y42" s="205">
        <f>88265.38+75210.35</f>
        <v>163475.73</v>
      </c>
      <c r="Z42" s="215">
        <f t="shared" si="17"/>
        <v>1310071.5</v>
      </c>
      <c r="AA42" s="660" t="s">
        <v>12</v>
      </c>
      <c r="AB42" s="743">
        <f t="shared" si="18"/>
        <v>98.5575007788111</v>
      </c>
      <c r="AC42" s="51"/>
      <c r="AD42" s="39"/>
    </row>
    <row r="43" spans="1:30" ht="15">
      <c r="A43" s="44" t="s">
        <v>13</v>
      </c>
      <c r="B43" s="254">
        <f t="shared" si="8"/>
        <v>2554223.869999999</v>
      </c>
      <c r="C43" s="254">
        <f t="shared" si="9"/>
        <v>2500051.0399999996</v>
      </c>
      <c r="D43" s="327">
        <f t="shared" si="10"/>
        <v>54172.82999999961</v>
      </c>
      <c r="E43" s="254">
        <f>'2022(пеня)'!C221+'2022(пеня)'!H221+'2022(пеня)'!L221+'2022(пеня)'!P221</f>
        <v>27381.73</v>
      </c>
      <c r="F43" s="61">
        <f>'2022(пеня)'!D221+'2022(пеня)'!I221+'2022(пеня)'!M221+'2022(пеня)'!R221</f>
        <v>27828.529999999995</v>
      </c>
      <c r="G43" s="48">
        <f>'2022(пеня)'!C252+'2022(пеня)'!H252+'2022(пеня)'!L252+'2022(пеня)'!P252</f>
        <v>27203.519999999997</v>
      </c>
      <c r="H43" s="61">
        <f>'2022(пеня)'!D252+'2022(пеня)'!I252+'2022(пеня)'!M252+'2022(пеня)'!R252</f>
        <v>25370.59</v>
      </c>
      <c r="I43" s="48">
        <f>'2022(пеня)'!C283+'2022(пеня)'!H283+'2022(пеня)'!L283+'2022(пеня)'!P283</f>
        <v>27320.069999999996</v>
      </c>
      <c r="J43" s="61">
        <f>'2022(пеня)'!D283+'2022(пеня)'!I283+'2022(пеня)'!M283+'2022(пеня)'!R283</f>
        <v>29356.67</v>
      </c>
      <c r="K43" s="48">
        <f>'2022(пеня)'!C316+'2022(пеня)'!H316+'2022(пеня)'!L316+'2022(пеня)'!P316</f>
        <v>27152.319999999996</v>
      </c>
      <c r="L43" s="61">
        <f>'2022(пеня)'!D316+'2022(пеня)'!I316+'2022(пеня)'!M316+'2022(пеня)'!R316</f>
        <v>24126.87</v>
      </c>
      <c r="M43" s="48">
        <f>'2022(пеня)'!C347+'2022(пеня)'!H347+'2022(пеня)'!L347+'2022(пеня)'!P347</f>
        <v>27173.719999999998</v>
      </c>
      <c r="N43" s="61">
        <f>'2022(пеня)'!D347+'2022(пеня)'!I347+'2022(пеня)'!M347+'2022(пеня)'!R347</f>
        <v>27847.23</v>
      </c>
      <c r="O43" s="48">
        <f>'2022(пеня)'!C379+'2022(пеня)'!H379+'2022(пеня)'!L379+'2022(пеня)'!P379</f>
        <v>27103.799999999996</v>
      </c>
      <c r="P43" s="61">
        <f>'2022(пеня)'!D379+'2022(пеня)'!I379+'2022(пеня)'!M379+'2022(пеня)'!R379</f>
        <v>30851.92</v>
      </c>
      <c r="Q43" s="273">
        <f t="shared" si="12"/>
        <v>163335.15999999997</v>
      </c>
      <c r="R43" s="273">
        <f t="shared" si="13"/>
        <v>165381.81</v>
      </c>
      <c r="S43" s="60">
        <f t="shared" si="14"/>
        <v>-2046.6500000000233</v>
      </c>
      <c r="T43" s="219">
        <f t="shared" si="11"/>
        <v>2717559.029999999</v>
      </c>
      <c r="U43" s="220">
        <f t="shared" si="15"/>
        <v>2665432.849999999</v>
      </c>
      <c r="V43" s="10">
        <f t="shared" si="19"/>
        <v>52126.1799999997</v>
      </c>
      <c r="W43" s="36"/>
      <c r="X43" s="48">
        <f>U43-W43</f>
        <v>2665432.849999999</v>
      </c>
      <c r="Y43" s="198"/>
      <c r="Z43" s="207">
        <f t="shared" si="17"/>
        <v>2665432.849999999</v>
      </c>
      <c r="AA43" s="660" t="s">
        <v>13</v>
      </c>
      <c r="AB43" s="743">
        <f t="shared" si="18"/>
        <v>98.08187496850806</v>
      </c>
      <c r="AC43" s="51"/>
      <c r="AD43" s="39"/>
    </row>
    <row r="44" spans="1:30" ht="15">
      <c r="A44" s="44" t="s">
        <v>14</v>
      </c>
      <c r="B44" s="254">
        <f t="shared" si="8"/>
        <v>3239570.1800000006</v>
      </c>
      <c r="C44" s="254">
        <f t="shared" si="9"/>
        <v>3200589.3999999994</v>
      </c>
      <c r="D44" s="327">
        <f t="shared" si="10"/>
        <v>38980.78000000119</v>
      </c>
      <c r="E44" s="254">
        <f>'2022(пеня)'!C222+'2022(пеня)'!H222+'2022(пеня)'!L222+'2022(пеня)'!P222</f>
        <v>35266.35</v>
      </c>
      <c r="F44" s="61">
        <f>'2022(пеня)'!D222+'2022(пеня)'!I222+'2022(пеня)'!M222+'2022(пеня)'!R222</f>
        <v>36734.79</v>
      </c>
      <c r="G44" s="48">
        <f>'2022(пеня)'!C253+'2022(пеня)'!H253+'2022(пеня)'!L253+'2022(пеня)'!P253</f>
        <v>34826.82</v>
      </c>
      <c r="H44" s="61">
        <f>'2022(пеня)'!D253+'2022(пеня)'!I253+'2022(пеня)'!M253+'2022(пеня)'!R253</f>
        <v>30345.59</v>
      </c>
      <c r="I44" s="48">
        <f>'2022(пеня)'!C284+'2022(пеня)'!H284+'2022(пеня)'!L284+'2022(пеня)'!P284</f>
        <v>35077.990000000005</v>
      </c>
      <c r="J44" s="61">
        <f>'2022(пеня)'!D284+'2022(пеня)'!I284+'2022(пеня)'!M284+'2022(пеня)'!R284</f>
        <v>34076.22</v>
      </c>
      <c r="K44" s="48">
        <f>'2022(пеня)'!C317+'2022(пеня)'!H317+'2022(пеня)'!L317+'2022(пеня)'!P317</f>
        <v>35020.420000000006</v>
      </c>
      <c r="L44" s="61">
        <f>'2022(пеня)'!D317+'2022(пеня)'!I317+'2022(пеня)'!M317+'2022(пеня)'!R317</f>
        <v>33768.94</v>
      </c>
      <c r="M44" s="48">
        <f>'2022(пеня)'!C348+'2022(пеня)'!H348+'2022(пеня)'!L348+'2022(пеня)'!P348</f>
        <v>35043.54</v>
      </c>
      <c r="N44" s="61">
        <f>'2022(пеня)'!D348+'2022(пеня)'!I348+'2022(пеня)'!M348+'2022(пеня)'!R348</f>
        <v>33726.630000000005</v>
      </c>
      <c r="O44" s="48">
        <f>'2022(пеня)'!C380+'2022(пеня)'!H380+'2022(пеня)'!L380+'2022(пеня)'!P380</f>
        <v>35012.439999999995</v>
      </c>
      <c r="P44" s="61">
        <f>'2022(пеня)'!D380+'2022(пеня)'!I380+'2022(пеня)'!M380+'2022(пеня)'!R380</f>
        <v>37916.850000000006</v>
      </c>
      <c r="Q44" s="273">
        <f t="shared" si="12"/>
        <v>210247.56000000003</v>
      </c>
      <c r="R44" s="273">
        <f t="shared" si="13"/>
        <v>206569.02000000002</v>
      </c>
      <c r="S44" s="60">
        <f t="shared" si="14"/>
        <v>3678.540000000008</v>
      </c>
      <c r="T44" s="219">
        <f t="shared" si="11"/>
        <v>3449817.7400000007</v>
      </c>
      <c r="U44" s="220">
        <f t="shared" si="15"/>
        <v>3407158.4199999995</v>
      </c>
      <c r="V44" s="10">
        <f t="shared" si="19"/>
        <v>42659.32000000123</v>
      </c>
      <c r="W44" s="663">
        <f>95170+750706</f>
        <v>845876</v>
      </c>
      <c r="X44" s="48">
        <f t="shared" si="16"/>
        <v>2561282.4199999995</v>
      </c>
      <c r="Y44" s="198">
        <f>13502.3</f>
        <v>13502.3</v>
      </c>
      <c r="Z44" s="199">
        <f t="shared" si="17"/>
        <v>2574784.7199999993</v>
      </c>
      <c r="AA44" s="660" t="s">
        <v>14</v>
      </c>
      <c r="AB44" s="743">
        <f t="shared" si="18"/>
        <v>98.76343264441554</v>
      </c>
      <c r="AC44" s="51"/>
      <c r="AD44" s="39"/>
    </row>
    <row r="45" spans="1:30" ht="15">
      <c r="A45" s="44" t="s">
        <v>55</v>
      </c>
      <c r="B45" s="254">
        <f t="shared" si="8"/>
        <v>1574059.62</v>
      </c>
      <c r="C45" s="254">
        <f t="shared" si="9"/>
        <v>1403084.7</v>
      </c>
      <c r="D45" s="327">
        <f t="shared" si="10"/>
        <v>170974.92000000016</v>
      </c>
      <c r="E45" s="254">
        <f>'2022(пеня)'!C223+'2022(пеня)'!H223+'2022(пеня)'!L223+'2022(пеня)'!P223</f>
        <v>15520.77</v>
      </c>
      <c r="F45" s="61">
        <f>'2022(пеня)'!D223+'2022(пеня)'!I223+'2022(пеня)'!M223+'2022(пеня)'!R223</f>
        <v>15005.740000000002</v>
      </c>
      <c r="G45" s="48">
        <f>'2022(пеня)'!C254+'2022(пеня)'!H254+'2022(пеня)'!L254+'2022(пеня)'!P254</f>
        <v>15324.01</v>
      </c>
      <c r="H45" s="61">
        <f>'2022(пеня)'!D254+'2022(пеня)'!I254+'2022(пеня)'!M254+'2022(пеня)'!R254</f>
        <v>13448.38</v>
      </c>
      <c r="I45" s="48">
        <f>'2022(пеня)'!C285+'2022(пеня)'!H285+'2022(пеня)'!L285+'2022(пеня)'!P285</f>
        <v>15409.26</v>
      </c>
      <c r="J45" s="61">
        <f>'2022(пеня)'!D285+'2022(пеня)'!I285+'2022(пеня)'!M285+'2022(пеня)'!R285</f>
        <v>13042.2</v>
      </c>
      <c r="K45" s="48">
        <f>'2022(пеня)'!C318+'2022(пеня)'!H318+'2022(пеня)'!L318+'2022(пеня)'!P318</f>
        <v>15347.1</v>
      </c>
      <c r="L45" s="61">
        <f>'2022(пеня)'!D318+'2022(пеня)'!I318+'2022(пеня)'!M318+'2022(пеня)'!R318</f>
        <v>13855.72</v>
      </c>
      <c r="M45" s="48">
        <f>'2022(пеня)'!C349+'2022(пеня)'!H349+'2022(пеня)'!L349+'2022(пеня)'!P349</f>
        <v>15317.09</v>
      </c>
      <c r="N45" s="61">
        <f>'2022(пеня)'!D349+'2022(пеня)'!I349+'2022(пеня)'!M349+'2022(пеня)'!R349</f>
        <v>13593.01</v>
      </c>
      <c r="O45" s="48">
        <f>'2022(пеня)'!C381+'2022(пеня)'!H381+'2022(пеня)'!L381+'2022(пеня)'!P381</f>
        <v>15463.829999999998</v>
      </c>
      <c r="P45" s="61">
        <f>'2022(пеня)'!D381+'2022(пеня)'!I381+'2022(пеня)'!M381+'2022(пеня)'!R381</f>
        <v>28086.06</v>
      </c>
      <c r="Q45" s="273">
        <f t="shared" si="12"/>
        <v>92382.06</v>
      </c>
      <c r="R45" s="273">
        <f t="shared" si="13"/>
        <v>97031.11</v>
      </c>
      <c r="S45" s="60">
        <f t="shared" si="14"/>
        <v>-4649.050000000003</v>
      </c>
      <c r="T45" s="219">
        <f t="shared" si="11"/>
        <v>1666441.6800000004</v>
      </c>
      <c r="U45" s="220">
        <f t="shared" si="15"/>
        <v>1500115.8099999998</v>
      </c>
      <c r="V45" s="48">
        <f t="shared" si="19"/>
        <v>166325.87000000058</v>
      </c>
      <c r="W45" s="62">
        <v>334459.74</v>
      </c>
      <c r="X45" s="48">
        <f t="shared" si="16"/>
        <v>1165656.0699999998</v>
      </c>
      <c r="Y45" s="200">
        <f>13372.4</f>
        <v>13372.4</v>
      </c>
      <c r="Z45" s="201">
        <f t="shared" si="17"/>
        <v>1179028.4699999997</v>
      </c>
      <c r="AA45" s="660" t="s">
        <v>55</v>
      </c>
      <c r="AB45" s="743">
        <f t="shared" si="18"/>
        <v>90.01910045840906</v>
      </c>
      <c r="AC45" s="51"/>
      <c r="AD45" s="39"/>
    </row>
    <row r="46" spans="1:30" ht="15">
      <c r="A46" s="44" t="s">
        <v>15</v>
      </c>
      <c r="B46" s="254">
        <f t="shared" si="8"/>
        <v>3352578.5899999994</v>
      </c>
      <c r="C46" s="254">
        <f t="shared" si="9"/>
        <v>3202762.4</v>
      </c>
      <c r="D46" s="327">
        <f t="shared" si="10"/>
        <v>149816.18999999948</v>
      </c>
      <c r="E46" s="254">
        <f>'2022(пеня)'!C224+'2022(пеня)'!H224+'2022(пеня)'!L224+'2022(пеня)'!P224</f>
        <v>35132.229999999996</v>
      </c>
      <c r="F46" s="61">
        <f>'2022(пеня)'!D224+'2022(пеня)'!I224+'2022(пеня)'!M224+'2022(пеня)'!R224</f>
        <v>31873.920000000002</v>
      </c>
      <c r="G46" s="48">
        <f>'2022(пеня)'!C255+'2022(пеня)'!H255+'2022(пеня)'!L255+'2022(пеня)'!P255</f>
        <v>36843.22</v>
      </c>
      <c r="H46" s="61">
        <f>'2022(пеня)'!D255+'2022(пеня)'!I255+'2022(пеня)'!M255+'2022(пеня)'!R255</f>
        <v>37302.9</v>
      </c>
      <c r="I46" s="48">
        <f>'2022(пеня)'!C286+'2022(пеня)'!H286+'2022(пеня)'!L286+'2022(пеня)'!P286</f>
        <v>36829.13</v>
      </c>
      <c r="J46" s="61">
        <f>'2022(пеня)'!D286+'2022(пеня)'!I286+'2022(пеня)'!M286+'2022(пеня)'!R286</f>
        <v>34578.7</v>
      </c>
      <c r="K46" s="48">
        <f>'2022(пеня)'!C319+'2022(пеня)'!H319+'2022(пеня)'!L319+'2022(пеня)'!P319</f>
        <v>36717.689999999995</v>
      </c>
      <c r="L46" s="61">
        <f>'2022(пеня)'!D319+'2022(пеня)'!I319+'2022(пеня)'!M319+'2022(пеня)'!R319</f>
        <v>34718.259999999995</v>
      </c>
      <c r="M46" s="48">
        <f>'2022(пеня)'!C350+'2022(пеня)'!H350+'2022(пеня)'!L350+'2022(пеня)'!P350</f>
        <v>36700.81</v>
      </c>
      <c r="N46" s="61">
        <f>'2022(пеня)'!D350+'2022(пеня)'!I350+'2022(пеня)'!M350+'2022(пеня)'!R350</f>
        <v>29629.6</v>
      </c>
      <c r="O46" s="48">
        <f>'2022(пеня)'!C382+'2022(пеня)'!H382+'2022(пеня)'!L382+'2022(пеня)'!P382</f>
        <v>36831.49</v>
      </c>
      <c r="P46" s="61">
        <f>'2022(пеня)'!D382+'2022(пеня)'!I382+'2022(пеня)'!M382+'2022(пеня)'!R382</f>
        <v>47339.26</v>
      </c>
      <c r="Q46" s="273">
        <f t="shared" si="12"/>
        <v>219054.56999999998</v>
      </c>
      <c r="R46" s="273">
        <f t="shared" si="13"/>
        <v>215442.64</v>
      </c>
      <c r="S46" s="60">
        <f t="shared" si="14"/>
        <v>3611.929999999964</v>
      </c>
      <c r="T46" s="219">
        <f t="shared" si="11"/>
        <v>3571633.1599999997</v>
      </c>
      <c r="U46" s="220">
        <f t="shared" si="15"/>
        <v>3418205.0399999996</v>
      </c>
      <c r="V46" s="10">
        <f t="shared" si="19"/>
        <v>153428.1200000001</v>
      </c>
      <c r="W46" s="36"/>
      <c r="X46" s="48">
        <f t="shared" si="16"/>
        <v>3418205.0399999996</v>
      </c>
      <c r="Y46" s="198"/>
      <c r="Z46" s="199">
        <f t="shared" si="17"/>
        <v>3418205.0399999996</v>
      </c>
      <c r="AA46" s="660" t="s">
        <v>15</v>
      </c>
      <c r="AB46" s="743">
        <f t="shared" si="18"/>
        <v>95.70425872068003</v>
      </c>
      <c r="AC46" s="51"/>
      <c r="AD46" s="39"/>
    </row>
    <row r="47" spans="1:30" ht="15">
      <c r="A47" s="44" t="s">
        <v>16</v>
      </c>
      <c r="B47" s="254">
        <f t="shared" si="8"/>
        <v>2685331.95</v>
      </c>
      <c r="C47" s="254">
        <f t="shared" si="9"/>
        <v>2661425.3000000007</v>
      </c>
      <c r="D47" s="327">
        <f t="shared" si="10"/>
        <v>23906.64999999944</v>
      </c>
      <c r="E47" s="254">
        <f>'2022(пеня)'!C225+'2022(пеня)'!H225+'2022(пеня)'!L225+'2022(пеня)'!P225</f>
        <v>28544.93</v>
      </c>
      <c r="F47" s="61">
        <f>'2022(пеня)'!D225+'2022(пеня)'!I225+'2022(пеня)'!M225+'2022(пеня)'!R225</f>
        <v>28749.879999999997</v>
      </c>
      <c r="G47" s="48">
        <f>'2022(пеня)'!C256+'2022(пеня)'!H256+'2022(пеня)'!L256+'2022(пеня)'!P256</f>
        <v>28541.280000000002</v>
      </c>
      <c r="H47" s="61">
        <f>'2022(пеня)'!D256+'2022(пеня)'!I256+'2022(пеня)'!M256+'2022(пеня)'!R256</f>
        <v>26741.7</v>
      </c>
      <c r="I47" s="48">
        <f>'2022(пеня)'!C287+'2022(пеня)'!H287+'2022(пеня)'!L287+'2022(пеня)'!P287</f>
        <v>28599.010000000002</v>
      </c>
      <c r="J47" s="61">
        <f>'2022(пеня)'!D287+'2022(пеня)'!I287+'2022(пеня)'!M287+'2022(пеня)'!R287</f>
        <v>29060.19</v>
      </c>
      <c r="K47" s="48">
        <f>'2022(пеня)'!C320+'2022(пеня)'!H320+'2022(пеня)'!L320+'2022(пеня)'!P320</f>
        <v>28579.45</v>
      </c>
      <c r="L47" s="61">
        <f>'2022(пеня)'!D320+'2022(пеня)'!I320+'2022(пеня)'!M320+'2022(пеня)'!R320</f>
        <v>30485.91</v>
      </c>
      <c r="M47" s="48">
        <f>'2022(пеня)'!C351+'2022(пеня)'!H351+'2022(пеня)'!L351+'2022(пеня)'!P351</f>
        <v>28550.83</v>
      </c>
      <c r="N47" s="61">
        <f>'2022(пеня)'!D351+'2022(пеня)'!I351+'2022(пеня)'!M351+'2022(пеня)'!R351</f>
        <v>23978.73</v>
      </c>
      <c r="O47" s="48">
        <f>'2022(пеня)'!C383+'2022(пеня)'!H383+'2022(пеня)'!L383+'2022(пеня)'!P383</f>
        <v>28554.32</v>
      </c>
      <c r="P47" s="61">
        <f>'2022(пеня)'!D383+'2022(пеня)'!I383+'2022(пеня)'!M383+'2022(пеня)'!R383</f>
        <v>34400.01</v>
      </c>
      <c r="Q47" s="273">
        <f t="shared" si="12"/>
        <v>171369.82</v>
      </c>
      <c r="R47" s="273">
        <f t="shared" si="13"/>
        <v>173416.42</v>
      </c>
      <c r="S47" s="60">
        <f t="shared" si="14"/>
        <v>-2046.6000000000058</v>
      </c>
      <c r="T47" s="219">
        <f t="shared" si="11"/>
        <v>2856701.77</v>
      </c>
      <c r="U47" s="220">
        <f t="shared" si="15"/>
        <v>2834841.7200000007</v>
      </c>
      <c r="V47" s="48">
        <f t="shared" si="19"/>
        <v>21860.049999999348</v>
      </c>
      <c r="W47" s="655">
        <v>1336500</v>
      </c>
      <c r="X47" s="48">
        <f t="shared" si="16"/>
        <v>1498341.7200000007</v>
      </c>
      <c r="Y47" s="200">
        <f>79030.82+12786.6+29561.85</f>
        <v>121379.27000000002</v>
      </c>
      <c r="Z47" s="201">
        <f t="shared" si="17"/>
        <v>1619720.9900000007</v>
      </c>
      <c r="AA47" s="660" t="s">
        <v>16</v>
      </c>
      <c r="AB47" s="743">
        <f t="shared" si="18"/>
        <v>99.23478011497157</v>
      </c>
      <c r="AC47" s="51"/>
      <c r="AD47" s="39"/>
    </row>
    <row r="48" spans="1:30" ht="15">
      <c r="A48" s="44" t="s">
        <v>17</v>
      </c>
      <c r="B48" s="254">
        <f t="shared" si="8"/>
        <v>3560210.5700000008</v>
      </c>
      <c r="C48" s="254">
        <f t="shared" si="9"/>
        <v>3513452.8200000008</v>
      </c>
      <c r="D48" s="327">
        <f t="shared" si="10"/>
        <v>46757.75</v>
      </c>
      <c r="E48" s="254">
        <f>'2022(пеня)'!C226+'2022(пеня)'!H226+'2022(пеня)'!L226+'2022(пеня)'!P226</f>
        <v>38140.28</v>
      </c>
      <c r="F48" s="61">
        <f>'2022(пеня)'!D226+'2022(пеня)'!I226+'2022(пеня)'!M226+'2022(пеня)'!R226</f>
        <v>36040.17</v>
      </c>
      <c r="G48" s="48">
        <f>'2022(пеня)'!C257+'2022(пеня)'!H257+'2022(пеня)'!L257+'2022(пеня)'!P257</f>
        <v>37763.16</v>
      </c>
      <c r="H48" s="61">
        <f>'2022(пеня)'!D257+'2022(пеня)'!I257+'2022(пеня)'!M257+'2022(пеня)'!R257</f>
        <v>33739.79</v>
      </c>
      <c r="I48" s="48">
        <f>'2022(пеня)'!C288+'2022(пеня)'!H288+'2022(пеня)'!L288+'2022(пеня)'!P288</f>
        <v>37809.42</v>
      </c>
      <c r="J48" s="61">
        <f>'2022(пеня)'!D288+'2022(пеня)'!I288+'2022(пеня)'!M288+'2022(пеня)'!R288</f>
        <v>37384.9</v>
      </c>
      <c r="K48" s="48">
        <f>'2022(пеня)'!C321+'2022(пеня)'!H321+'2022(пеня)'!L321+'2022(пеня)'!P321</f>
        <v>37779.27</v>
      </c>
      <c r="L48" s="61">
        <f>'2022(пеня)'!D321+'2022(пеня)'!I321+'2022(пеня)'!M321+'2022(пеня)'!R321</f>
        <v>36662.43</v>
      </c>
      <c r="M48" s="48">
        <f>'2022(пеня)'!C352+'2022(пеня)'!H352+'2022(пеня)'!L352+'2022(пеня)'!P352</f>
        <v>37775.91</v>
      </c>
      <c r="N48" s="61">
        <f>'2022(пеня)'!D352+'2022(пеня)'!I352+'2022(пеня)'!M352+'2022(пеня)'!R352</f>
        <v>34857.99</v>
      </c>
      <c r="O48" s="48">
        <f>'2022(пеня)'!C384+'2022(пеня)'!H384+'2022(пеня)'!L384+'2022(пеня)'!P384</f>
        <v>37792.07</v>
      </c>
      <c r="P48" s="61">
        <f>'2022(пеня)'!D384+'2022(пеня)'!I384+'2022(пеня)'!M384+'2022(пеня)'!R384</f>
        <v>44139.39</v>
      </c>
      <c r="Q48" s="273">
        <f t="shared" si="12"/>
        <v>227060.11000000002</v>
      </c>
      <c r="R48" s="273">
        <f t="shared" si="13"/>
        <v>222824.66999999998</v>
      </c>
      <c r="S48" s="60">
        <f t="shared" si="14"/>
        <v>4235.440000000031</v>
      </c>
      <c r="T48" s="219">
        <f t="shared" si="11"/>
        <v>3787270.6800000006</v>
      </c>
      <c r="U48" s="220">
        <f t="shared" si="15"/>
        <v>3736277.490000001</v>
      </c>
      <c r="V48" s="10">
        <f t="shared" si="19"/>
        <v>50993.18999999948</v>
      </c>
      <c r="W48" s="36"/>
      <c r="X48" s="48">
        <f t="shared" si="16"/>
        <v>3736277.490000001</v>
      </c>
      <c r="Y48" s="198"/>
      <c r="Z48" s="199">
        <f t="shared" si="17"/>
        <v>3736277.490000001</v>
      </c>
      <c r="AA48" s="660" t="s">
        <v>17</v>
      </c>
      <c r="AB48" s="743">
        <f t="shared" si="18"/>
        <v>98.65356362645832</v>
      </c>
      <c r="AC48" s="51"/>
      <c r="AD48" s="39"/>
    </row>
    <row r="49" spans="1:30" ht="15">
      <c r="A49" s="44" t="s">
        <v>18</v>
      </c>
      <c r="B49" s="254">
        <f t="shared" si="8"/>
        <v>7569230.159999998</v>
      </c>
      <c r="C49" s="254">
        <f t="shared" si="9"/>
        <v>7424856.379999999</v>
      </c>
      <c r="D49" s="327">
        <f t="shared" si="10"/>
        <v>144373.77999999933</v>
      </c>
      <c r="E49" s="254">
        <f>'2022(пеня)'!C227+'2022(пеня)'!H227+'2022(пеня)'!L227+'2022(пеня)'!P227</f>
        <v>80586.93000000001</v>
      </c>
      <c r="F49" s="61">
        <f>'2022(пеня)'!D227+'2022(пеня)'!I227+'2022(пеня)'!M227+'2022(пеня)'!R227</f>
        <v>71994.21</v>
      </c>
      <c r="G49" s="48">
        <f>'2022(пеня)'!C258+'2022(пеня)'!H258+'2022(пеня)'!L258+'2022(пеня)'!P258</f>
        <v>80664.47000000002</v>
      </c>
      <c r="H49" s="61">
        <f>'2022(пеня)'!D258+'2022(пеня)'!I258+'2022(пеня)'!M258+'2022(пеня)'!R258</f>
        <v>80977.39</v>
      </c>
      <c r="I49" s="48">
        <f>'2022(пеня)'!C289+'2022(пеня)'!H289+'2022(пеня)'!L289+'2022(пеня)'!P289</f>
        <v>80663.94000000002</v>
      </c>
      <c r="J49" s="61">
        <f>'2022(пеня)'!D289+'2022(пеня)'!I289+'2022(пеня)'!M289+'2022(пеня)'!R289</f>
        <v>74565.18</v>
      </c>
      <c r="K49" s="48">
        <f>'2022(пеня)'!C322+'2022(пеня)'!H322+'2022(пеня)'!L322+'2022(пеня)'!P322</f>
        <v>80647.40000000001</v>
      </c>
      <c r="L49" s="61">
        <f>'2022(пеня)'!D322+'2022(пеня)'!I322+'2022(пеня)'!M322+'2022(пеня)'!R322</f>
        <v>76553.77</v>
      </c>
      <c r="M49" s="48">
        <f>'2022(пеня)'!C353+'2022(пеня)'!H353+'2022(пеня)'!L353+'2022(пеня)'!P353</f>
        <v>80483.08000000002</v>
      </c>
      <c r="N49" s="61">
        <f>'2022(пеня)'!D353+'2022(пеня)'!I353+'2022(пеня)'!M353+'2022(пеня)'!R353</f>
        <v>77161.07</v>
      </c>
      <c r="O49" s="48">
        <f>'2022(пеня)'!C385+'2022(пеня)'!H385+'2022(пеня)'!L385+'2022(пеня)'!P385</f>
        <v>80792.51000000001</v>
      </c>
      <c r="P49" s="61">
        <f>'2022(пеня)'!D385+'2022(пеня)'!I385+'2022(пеня)'!M385+'2022(пеня)'!R385</f>
        <v>96548.22</v>
      </c>
      <c r="Q49" s="273">
        <f t="shared" si="12"/>
        <v>483838.3300000001</v>
      </c>
      <c r="R49" s="273">
        <f t="shared" si="13"/>
        <v>477799.83999999997</v>
      </c>
      <c r="S49" s="60">
        <f t="shared" si="14"/>
        <v>6038.490000000107</v>
      </c>
      <c r="T49" s="219">
        <f t="shared" si="11"/>
        <v>8053068.489999998</v>
      </c>
      <c r="U49" s="220">
        <f t="shared" si="15"/>
        <v>7902656.219999998</v>
      </c>
      <c r="V49" s="10">
        <f t="shared" si="19"/>
        <v>150412.27000000048</v>
      </c>
      <c r="W49" s="663">
        <v>4341558.98</v>
      </c>
      <c r="X49" s="48">
        <f t="shared" si="16"/>
        <v>3561097.2399999974</v>
      </c>
      <c r="Y49" s="198">
        <f>111852.57+155069.83</f>
        <v>266922.4</v>
      </c>
      <c r="Z49" s="199">
        <f t="shared" si="17"/>
        <v>3828019.6399999973</v>
      </c>
      <c r="AA49" s="660" t="s">
        <v>18</v>
      </c>
      <c r="AB49" s="743">
        <f t="shared" si="18"/>
        <v>98.13223654825764</v>
      </c>
      <c r="AC49" s="51"/>
      <c r="AD49" s="39"/>
    </row>
    <row r="50" spans="1:30" ht="15">
      <c r="A50" s="44" t="s">
        <v>54</v>
      </c>
      <c r="B50" s="254">
        <f t="shared" si="8"/>
        <v>3390861.6199999996</v>
      </c>
      <c r="C50" s="254">
        <f t="shared" si="9"/>
        <v>3163959.7599999993</v>
      </c>
      <c r="D50" s="327">
        <f t="shared" si="10"/>
        <v>226901.86000000034</v>
      </c>
      <c r="E50" s="254">
        <f>'2022(пеня)'!C228+'2022(пеня)'!H228+'2022(пеня)'!L228+'2022(пеня)'!P228</f>
        <v>34184.86</v>
      </c>
      <c r="F50" s="61">
        <f>'2022(пеня)'!D228+'2022(пеня)'!I228+'2022(пеня)'!M228+'2022(пеня)'!R228</f>
        <v>36930.85</v>
      </c>
      <c r="G50" s="48">
        <f>'2022(пеня)'!C259+'2022(пеня)'!H259+'2022(пеня)'!L259+'2022(пеня)'!P259</f>
        <v>33968.25</v>
      </c>
      <c r="H50" s="61">
        <f>'2022(пеня)'!D259+'2022(пеня)'!I259+'2022(пеня)'!M259+'2022(пеня)'!R259</f>
        <v>39052.81</v>
      </c>
      <c r="I50" s="48">
        <f>'2022(пеня)'!C290+'2022(пеня)'!H290+'2022(пеня)'!L290+'2022(пеня)'!P290</f>
        <v>33912.83</v>
      </c>
      <c r="J50" s="61">
        <f>'2022(пеня)'!D290+'2022(пеня)'!I290+'2022(пеня)'!M290+'2022(пеня)'!R290</f>
        <v>31872.54</v>
      </c>
      <c r="K50" s="48">
        <f>'2022(пеня)'!C323+'2022(пеня)'!H323+'2022(пеня)'!L323+'2022(пеня)'!P323</f>
        <v>33904.05</v>
      </c>
      <c r="L50" s="61">
        <f>'2022(пеня)'!D323+'2022(пеня)'!I323+'2022(пеня)'!M323+'2022(пеня)'!R323</f>
        <v>35875.86</v>
      </c>
      <c r="M50" s="48">
        <f>'2022(пеня)'!C354+'2022(пеня)'!H354+'2022(пеня)'!L354+'2022(пеня)'!P354</f>
        <v>34015.64</v>
      </c>
      <c r="N50" s="61">
        <f>'2022(пеня)'!D354+'2022(пеня)'!I354+'2022(пеня)'!M354+'2022(пеня)'!R354</f>
        <v>33144.09</v>
      </c>
      <c r="O50" s="48">
        <f>'2022(пеня)'!C386+'2022(пеня)'!H386+'2022(пеня)'!L386+'2022(пеня)'!P386</f>
        <v>34036.01</v>
      </c>
      <c r="P50" s="61">
        <f>'2022(пеня)'!D386+'2022(пеня)'!I386+'2022(пеня)'!M386+'2022(пеня)'!R386</f>
        <v>42239.689999999995</v>
      </c>
      <c r="Q50" s="273">
        <f t="shared" si="12"/>
        <v>204021.64</v>
      </c>
      <c r="R50" s="273">
        <f t="shared" si="13"/>
        <v>219115.84</v>
      </c>
      <c r="S50" s="60">
        <f t="shared" si="14"/>
        <v>-15094.199999999983</v>
      </c>
      <c r="T50" s="219">
        <f t="shared" si="11"/>
        <v>3594883.2599999993</v>
      </c>
      <c r="U50" s="220">
        <f t="shared" si="15"/>
        <v>3383075.599999999</v>
      </c>
      <c r="V50" s="48">
        <f t="shared" si="19"/>
        <v>211807.66000000015</v>
      </c>
      <c r="W50" s="655">
        <f>729569+1097000</f>
        <v>1826569</v>
      </c>
      <c r="X50" s="48">
        <f>U50-W50</f>
        <v>1556506.5999999992</v>
      </c>
      <c r="Y50" s="200">
        <f>27870.43+36277.58</f>
        <v>64148.01</v>
      </c>
      <c r="Z50" s="201">
        <f t="shared" si="17"/>
        <v>1620654.6099999992</v>
      </c>
      <c r="AA50" s="660" t="s">
        <v>54</v>
      </c>
      <c r="AB50" s="743">
        <f t="shared" si="18"/>
        <v>94.1080796042317</v>
      </c>
      <c r="AC50" s="51"/>
      <c r="AD50" s="39"/>
    </row>
    <row r="51" spans="1:30" ht="15">
      <c r="A51" s="44" t="s">
        <v>49</v>
      </c>
      <c r="B51" s="254">
        <f t="shared" si="8"/>
        <v>7124644.920000001</v>
      </c>
      <c r="C51" s="254">
        <f t="shared" si="9"/>
        <v>6969515.489999999</v>
      </c>
      <c r="D51" s="327">
        <f t="shared" si="10"/>
        <v>155129.43000000156</v>
      </c>
      <c r="E51" s="254">
        <f>'2022(пеня)'!C229+'2022(пеня)'!H229+'2022(пеня)'!L229+'2022(пеня)'!P229</f>
        <v>76186.05</v>
      </c>
      <c r="F51" s="61">
        <f>'2022(пеня)'!D229+'2022(пеня)'!I229+'2022(пеня)'!M229+'2022(пеня)'!R229</f>
        <v>67734.85</v>
      </c>
      <c r="G51" s="48">
        <f>'2022(пеня)'!C260+'2022(пеня)'!H260+'2022(пеня)'!L260+'2022(пеня)'!P260</f>
        <v>76141.81000000001</v>
      </c>
      <c r="H51" s="61">
        <f>'2022(пеня)'!D260+'2022(пеня)'!I260+'2022(пеня)'!M260+'2022(пеня)'!R260</f>
        <v>79322.14</v>
      </c>
      <c r="I51" s="48">
        <f>'2022(пеня)'!C291+'2022(пеня)'!H291+'2022(пеня)'!L291+'2022(пеня)'!P291</f>
        <v>75437.12999999999</v>
      </c>
      <c r="J51" s="61">
        <f>'2022(пеня)'!D291+'2022(пеня)'!I291+'2022(пеня)'!M291+'2022(пеня)'!R291</f>
        <v>68944.09</v>
      </c>
      <c r="K51" s="48">
        <f>'2022(пеня)'!C324+'2022(пеня)'!H324+'2022(пеня)'!L324+'2022(пеня)'!P324</f>
        <v>75813.73000000001</v>
      </c>
      <c r="L51" s="61">
        <f>'2022(пеня)'!D324+'2022(пеня)'!I324+'2022(пеня)'!M324+'2022(пеня)'!R324</f>
        <v>73229.04</v>
      </c>
      <c r="M51" s="48">
        <f>'2022(пеня)'!C355+'2022(пеня)'!H355+'2022(пеня)'!L355+'2022(пеня)'!P355</f>
        <v>75889.11</v>
      </c>
      <c r="N51" s="61">
        <f>'2022(пеня)'!D355+'2022(пеня)'!I355+'2022(пеня)'!M355+'2022(пеня)'!R355</f>
        <v>75596.54999999999</v>
      </c>
      <c r="O51" s="48">
        <f>'2022(пеня)'!C387+'2022(пеня)'!H387+'2022(пеня)'!L387+'2022(пеня)'!P387</f>
        <v>75577.86</v>
      </c>
      <c r="P51" s="61">
        <f>'2022(пеня)'!D387+'2022(пеня)'!I387+'2022(пеня)'!M387+'2022(пеня)'!R387</f>
        <v>92224.11</v>
      </c>
      <c r="Q51" s="273">
        <f t="shared" si="12"/>
        <v>455045.68999999994</v>
      </c>
      <c r="R51" s="273">
        <f t="shared" si="13"/>
        <v>457050.77999999997</v>
      </c>
      <c r="S51" s="60">
        <f t="shared" si="14"/>
        <v>-2005.0900000000256</v>
      </c>
      <c r="T51" s="219">
        <f t="shared" si="11"/>
        <v>7579690.610000001</v>
      </c>
      <c r="U51" s="220">
        <f t="shared" si="15"/>
        <v>7426566.269999999</v>
      </c>
      <c r="V51" s="47">
        <f t="shared" si="19"/>
        <v>153124.34000000264</v>
      </c>
      <c r="W51" s="63">
        <f>629831+645589.72+415100</f>
        <v>1690520.72</v>
      </c>
      <c r="X51" s="48">
        <f t="shared" si="16"/>
        <v>5736045.549999999</v>
      </c>
      <c r="Y51" s="202">
        <f>103806.12+227824.61</f>
        <v>331630.73</v>
      </c>
      <c r="Z51" s="203">
        <f t="shared" si="17"/>
        <v>6067676.279999999</v>
      </c>
      <c r="AA51" s="660" t="s">
        <v>49</v>
      </c>
      <c r="AB51" s="743">
        <f t="shared" si="18"/>
        <v>97.97980751618036</v>
      </c>
      <c r="AC51" s="51"/>
      <c r="AD51" s="39"/>
    </row>
    <row r="52" spans="1:30" ht="15">
      <c r="A52" s="44" t="s">
        <v>19</v>
      </c>
      <c r="B52" s="254">
        <f t="shared" si="8"/>
        <v>5089661.34</v>
      </c>
      <c r="C52" s="254">
        <f t="shared" si="9"/>
        <v>5048212.3599999985</v>
      </c>
      <c r="D52" s="327">
        <f t="shared" si="10"/>
        <v>41448.98000000138</v>
      </c>
      <c r="E52" s="254">
        <f>'2022(пеня)'!C230+'2022(пеня)'!H230+'2022(пеня)'!L230+'2022(пеня)'!P230</f>
        <v>54766</v>
      </c>
      <c r="F52" s="61">
        <f>'2022(пеня)'!D230+'2022(пеня)'!I230+'2022(пеня)'!M230+'2022(пеня)'!R230</f>
        <v>52380.11</v>
      </c>
      <c r="G52" s="48">
        <f>'2022(пеня)'!C261+'2022(пеня)'!H261+'2022(пеня)'!L261+'2022(пеня)'!P261</f>
        <v>54239.07000000001</v>
      </c>
      <c r="H52" s="61">
        <f>'2022(пеня)'!D261+'2022(пеня)'!I261+'2022(пеня)'!M261+'2022(пеня)'!R261</f>
        <v>54326.8</v>
      </c>
      <c r="I52" s="48">
        <f>'2022(пеня)'!C292+'2022(пеня)'!H292+'2022(пеня)'!L292+'2022(пеня)'!P292</f>
        <v>54593.21000000001</v>
      </c>
      <c r="J52" s="61">
        <f>'2022(пеня)'!D292+'2022(пеня)'!I292+'2022(пеня)'!M292+'2022(пеня)'!R292</f>
        <v>51254.310000000005</v>
      </c>
      <c r="K52" s="48">
        <f>'2022(пеня)'!C325+'2022(пеня)'!H325+'2022(пеня)'!L325+'2022(пеня)'!P325</f>
        <v>53814.77</v>
      </c>
      <c r="L52" s="61">
        <f>'2022(пеня)'!D325+'2022(пеня)'!I325+'2022(пеня)'!M325+'2022(пеня)'!R325</f>
        <v>51438.27</v>
      </c>
      <c r="M52" s="48">
        <f>'2022(пеня)'!C356+'2022(пеня)'!H356+'2022(пеня)'!L356+'2022(пеня)'!P356</f>
        <v>54089.09</v>
      </c>
      <c r="N52" s="61">
        <f>'2022(пеня)'!D356+'2022(пеня)'!I356+'2022(пеня)'!M356+'2022(пеня)'!R356</f>
        <v>59878.49</v>
      </c>
      <c r="O52" s="48">
        <f>'2022(пеня)'!C388+'2022(пеня)'!H388+'2022(пеня)'!L388+'2022(пеня)'!P388</f>
        <v>54359.270000000004</v>
      </c>
      <c r="P52" s="61">
        <f>'2022(пеня)'!D388+'2022(пеня)'!I388+'2022(пеня)'!M388+'2022(пеня)'!R388</f>
        <v>59430.6</v>
      </c>
      <c r="Q52" s="273">
        <f t="shared" si="12"/>
        <v>325861.41000000003</v>
      </c>
      <c r="R52" s="273">
        <f t="shared" si="13"/>
        <v>328708.57999999996</v>
      </c>
      <c r="S52" s="60">
        <f t="shared" si="14"/>
        <v>-2847.1699999999255</v>
      </c>
      <c r="T52" s="219">
        <f t="shared" si="11"/>
        <v>5415522.749999999</v>
      </c>
      <c r="U52" s="220">
        <f t="shared" si="15"/>
        <v>5376920.939999998</v>
      </c>
      <c r="V52" s="47">
        <f t="shared" si="19"/>
        <v>38601.81000000145</v>
      </c>
      <c r="W52" s="663">
        <f>399000+207400</f>
        <v>606400</v>
      </c>
      <c r="X52" s="730">
        <f t="shared" si="16"/>
        <v>4770520.939999998</v>
      </c>
      <c r="Y52" s="198"/>
      <c r="Z52" s="199">
        <f t="shared" si="17"/>
        <v>4770520.939999998</v>
      </c>
      <c r="AA52" s="660" t="s">
        <v>19</v>
      </c>
      <c r="AB52" s="743">
        <f t="shared" si="18"/>
        <v>99.28720066774714</v>
      </c>
      <c r="AC52" s="51"/>
      <c r="AD52" s="39"/>
    </row>
    <row r="53" spans="1:30" ht="15">
      <c r="A53" s="329" t="s">
        <v>20</v>
      </c>
      <c r="B53" s="254">
        <f t="shared" si="8"/>
        <v>3285458.1999999997</v>
      </c>
      <c r="C53" s="254">
        <f t="shared" si="9"/>
        <v>3267197.1</v>
      </c>
      <c r="D53" s="327">
        <f t="shared" si="10"/>
        <v>18261.099999999627</v>
      </c>
      <c r="E53" s="254">
        <f>'2022(пеня)'!C231+'2022(пеня)'!H231+'2022(пеня)'!L231+'2022(пеня)'!P231</f>
        <v>34985.68</v>
      </c>
      <c r="F53" s="61">
        <f>'2022(пеня)'!D231+'2022(пеня)'!I231+'2022(пеня)'!M231+'2022(пеня)'!R231</f>
        <v>34078.6</v>
      </c>
      <c r="G53" s="48">
        <f>'2022(пеня)'!C262+'2022(пеня)'!H262+'2022(пеня)'!L262+'2022(пеня)'!P262</f>
        <v>34968.29</v>
      </c>
      <c r="H53" s="330">
        <f>'2022(пеня)'!D262+'2022(пеня)'!I262+'2022(пеня)'!M262+'2022(пеня)'!R262</f>
        <v>32870.83</v>
      </c>
      <c r="I53" s="331">
        <f>'2022(пеня)'!C293+'2022(пеня)'!H293+'2022(пеня)'!L293+'2022(пеня)'!P293</f>
        <v>34999.76</v>
      </c>
      <c r="J53" s="330">
        <f>'2022(пеня)'!D293+'2022(пеня)'!I293+'2022(пеня)'!M293+'2022(пеня)'!R293</f>
        <v>32181.53</v>
      </c>
      <c r="K53" s="48">
        <f>'2022(пеня)'!C326+'2022(пеня)'!H326+'2022(пеня)'!L326+'2022(пеня)'!P326</f>
        <v>34980.41</v>
      </c>
      <c r="L53" s="61">
        <f>'2022(пеня)'!D326+'2022(пеня)'!I326+'2022(пеня)'!M326+'2022(пеня)'!R326</f>
        <v>34846.47</v>
      </c>
      <c r="M53" s="331">
        <f>'2022(пеня)'!C357+'2022(пеня)'!H357+'2022(пеня)'!L357+'2022(пеня)'!P357</f>
        <v>34978.530000000006</v>
      </c>
      <c r="N53" s="61">
        <f>'2022(пеня)'!D357+'2022(пеня)'!I357+'2022(пеня)'!M357+'2022(пеня)'!R357</f>
        <v>33345.48</v>
      </c>
      <c r="O53" s="331">
        <f>'2022(пеня)'!C389+'2022(пеня)'!H389+'2022(пеня)'!L389+'2022(пеня)'!P389</f>
        <v>34987.920000000006</v>
      </c>
      <c r="P53" s="330">
        <f>'2022(пеня)'!D389+'2022(пеня)'!I389+'2022(пеня)'!M389+'2022(пеня)'!R389</f>
        <v>39703.840000000004</v>
      </c>
      <c r="Q53" s="273">
        <f t="shared" si="12"/>
        <v>209900.59000000003</v>
      </c>
      <c r="R53" s="273">
        <f t="shared" si="13"/>
        <v>207026.75</v>
      </c>
      <c r="S53" s="60">
        <f t="shared" si="14"/>
        <v>2873.8400000000256</v>
      </c>
      <c r="T53" s="219">
        <f t="shared" si="11"/>
        <v>3495358.7899999996</v>
      </c>
      <c r="U53" s="220">
        <f t="shared" si="15"/>
        <v>3474223.85</v>
      </c>
      <c r="V53" s="47">
        <f t="shared" si="19"/>
        <v>21134.93999999948</v>
      </c>
      <c r="W53" s="143">
        <v>1413040.48</v>
      </c>
      <c r="X53" s="730">
        <f t="shared" si="16"/>
        <v>2061183.37</v>
      </c>
      <c r="Y53" s="216">
        <f>49125.72+43998.06</f>
        <v>93123.78</v>
      </c>
      <c r="Z53" s="217">
        <f t="shared" si="17"/>
        <v>2154307.15</v>
      </c>
      <c r="AA53" s="662" t="s">
        <v>20</v>
      </c>
      <c r="AB53" s="743">
        <f t="shared" si="18"/>
        <v>99.39534275964844</v>
      </c>
      <c r="AC53" s="51"/>
      <c r="AD53" s="39"/>
    </row>
    <row r="54" spans="1:30" ht="15">
      <c r="A54" s="740" t="s">
        <v>208</v>
      </c>
      <c r="B54" s="254">
        <f t="shared" si="8"/>
        <v>4122968.46</v>
      </c>
      <c r="C54" s="254">
        <f t="shared" si="9"/>
        <v>4010390.75</v>
      </c>
      <c r="D54" s="327">
        <f t="shared" si="10"/>
        <v>112577.70999999996</v>
      </c>
      <c r="E54" s="254">
        <f>'2022(пеня)'!C232+'2022(пеня)'!H232+'2022(пеня)'!L232+'2022(пеня)'!P232</f>
        <v>43843.049999999996</v>
      </c>
      <c r="F54" s="61">
        <f>'2022(пеня)'!D232+'2022(пеня)'!I232+'2022(пеня)'!M232+'2022(пеня)'!R232</f>
        <v>49218.68</v>
      </c>
      <c r="G54" s="48">
        <f>'2022(пеня)'!C263+'2022(пеня)'!H263+'2022(пеня)'!L263+'2022(пеня)'!P263</f>
        <v>43553.6</v>
      </c>
      <c r="H54" s="330">
        <f>'2022(пеня)'!D263+'2022(пеня)'!I263+'2022(пеня)'!M263+'2022(пеня)'!R263</f>
        <v>45303.78</v>
      </c>
      <c r="I54" s="331">
        <f>'2022(пеня)'!C294+'2022(пеня)'!H294+'2022(пеня)'!L294+'2022(пеня)'!P294</f>
        <v>43595.13</v>
      </c>
      <c r="J54" s="330">
        <f>'2022(пеня)'!D294+'2022(пеня)'!I294+'2022(пеня)'!M294+'2022(пеня)'!R294</f>
        <v>37432.05</v>
      </c>
      <c r="K54" s="48">
        <f>'2022(пеня)'!C327+'2022(пеня)'!H327+'2022(пеня)'!L327+'2022(пеня)'!P327</f>
        <v>43626.5</v>
      </c>
      <c r="L54" s="61">
        <f>'2022(пеня)'!D327+'2022(пеня)'!I327+'2022(пеня)'!M327+'2022(пеня)'!R327</f>
        <v>51778.72</v>
      </c>
      <c r="M54" s="331">
        <f>'2022(пеня)'!C358+'2022(пеня)'!H358+'2022(пеня)'!L358+'2022(пеня)'!P358</f>
        <v>43603.79</v>
      </c>
      <c r="N54" s="61">
        <f>'2022(пеня)'!D358+'2022(пеня)'!I358+'2022(пеня)'!M358+'2022(пеня)'!R358</f>
        <v>45266.87</v>
      </c>
      <c r="O54" s="331">
        <f>'2022(пеня)'!C390+'2022(пеня)'!H390+'2022(пеня)'!L390+'2022(пеня)'!P390</f>
        <v>43615.42</v>
      </c>
      <c r="P54" s="330">
        <f>'2022(пеня)'!D390+'2022(пеня)'!I390+'2022(пеня)'!M390+'2022(пеня)'!R390</f>
        <v>50090.079999999994</v>
      </c>
      <c r="Q54" s="273">
        <f t="shared" si="12"/>
        <v>261837.49</v>
      </c>
      <c r="R54" s="273">
        <f t="shared" si="13"/>
        <v>279090.18</v>
      </c>
      <c r="S54" s="60">
        <f t="shared" si="14"/>
        <v>-17252.690000000002</v>
      </c>
      <c r="T54" s="219">
        <f t="shared" si="11"/>
        <v>4384805.949999999</v>
      </c>
      <c r="U54" s="220">
        <f t="shared" si="15"/>
        <v>4289480.93</v>
      </c>
      <c r="V54" s="47">
        <f t="shared" si="19"/>
        <v>95325.01999999955</v>
      </c>
      <c r="W54" s="36"/>
      <c r="X54" s="730">
        <f t="shared" si="16"/>
        <v>4289480.93</v>
      </c>
      <c r="Y54" s="3">
        <v>60958</v>
      </c>
      <c r="Z54" s="217">
        <f t="shared" si="17"/>
        <v>4350438.93</v>
      </c>
      <c r="AA54" s="742" t="s">
        <v>208</v>
      </c>
      <c r="AB54" s="743">
        <f t="shared" si="18"/>
        <v>97.82601508283395</v>
      </c>
      <c r="AC54" s="51"/>
      <c r="AD54" s="39"/>
    </row>
    <row r="55" spans="1:30" ht="15.75" thickBot="1">
      <c r="A55" s="741" t="s">
        <v>150</v>
      </c>
      <c r="B55" s="254">
        <f t="shared" si="8"/>
        <v>1414212.5200000007</v>
      </c>
      <c r="C55" s="254">
        <f t="shared" si="9"/>
        <v>1404664.8400000003</v>
      </c>
      <c r="D55" s="327">
        <f t="shared" si="10"/>
        <v>9547.6800000004</v>
      </c>
      <c r="E55" s="254">
        <f>'2022(пеня)'!C233+'2022(пеня)'!H233+'2022(пеня)'!L233+'2022(пеня)'!P233</f>
        <v>14903.07</v>
      </c>
      <c r="F55" s="61">
        <f>'2022(пеня)'!D233+'2022(пеня)'!I233+'2022(пеня)'!M233+'2022(пеня)'!R233</f>
        <v>12223.6</v>
      </c>
      <c r="G55" s="48">
        <f>'2022(пеня)'!C264+'2022(пеня)'!H264+'2022(пеня)'!L264+'2022(пеня)'!P264</f>
        <v>14932.449999999999</v>
      </c>
      <c r="H55" s="330">
        <f>'2022(пеня)'!D264+'2022(пеня)'!I264+'2022(пеня)'!M264+'2022(пеня)'!R264</f>
        <v>13009.960000000001</v>
      </c>
      <c r="I55" s="331">
        <f>'2022(пеня)'!C295+'2022(пеня)'!H295+'2022(пеня)'!L295+'2022(пеня)'!P295</f>
        <v>14926</v>
      </c>
      <c r="J55" s="330">
        <f>'2022(пеня)'!D295+'2022(пеня)'!I295+'2022(пеня)'!M295+'2022(пеня)'!R295</f>
        <v>13114.039999999999</v>
      </c>
      <c r="K55" s="48">
        <f>'2022(пеня)'!C328+'2022(пеня)'!H328+'2022(пеня)'!L328+'2022(пеня)'!P328</f>
        <v>14926.789999999999</v>
      </c>
      <c r="L55" s="61">
        <f>'2022(пеня)'!D328+'2022(пеня)'!I328+'2022(пеня)'!M328+'2022(пеня)'!R328</f>
        <v>13975.39</v>
      </c>
      <c r="M55" s="331">
        <f>'2022(пеня)'!C359+'2022(пеня)'!H359+'2022(пеня)'!L359+'2022(пеня)'!P359</f>
        <v>14934.82</v>
      </c>
      <c r="N55" s="61">
        <f>'2022(пеня)'!D359+'2022(пеня)'!I359+'2022(пеня)'!M359+'2022(пеня)'!R359</f>
        <v>15765.48</v>
      </c>
      <c r="O55" s="331">
        <f>'2022(пеня)'!C391+'2022(пеня)'!H391+'2022(пеня)'!L391+'2022(пеня)'!P391</f>
        <v>14931.529999999999</v>
      </c>
      <c r="P55" s="330">
        <f>'2022(пеня)'!D391+'2022(пеня)'!I391+'2022(пеня)'!M391+'2022(пеня)'!R391</f>
        <v>15680.42</v>
      </c>
      <c r="Q55" s="273">
        <f t="shared" si="12"/>
        <v>89554.66</v>
      </c>
      <c r="R55" s="273">
        <f t="shared" si="13"/>
        <v>83768.89</v>
      </c>
      <c r="S55" s="60">
        <f t="shared" si="14"/>
        <v>5785.770000000004</v>
      </c>
      <c r="T55" s="219">
        <f t="shared" si="11"/>
        <v>1503767.1800000009</v>
      </c>
      <c r="U55" s="220">
        <f>C55+F55+H55+J55+L55+N55+P55</f>
        <v>1488433.7300000002</v>
      </c>
      <c r="V55" s="47">
        <f t="shared" si="19"/>
        <v>15333.450000000652</v>
      </c>
      <c r="W55" s="36"/>
      <c r="X55" s="730">
        <f t="shared" si="16"/>
        <v>1488433.7300000002</v>
      </c>
      <c r="Y55" s="3">
        <v>22014.5</v>
      </c>
      <c r="Z55" s="217">
        <f t="shared" si="17"/>
        <v>1510448.2300000002</v>
      </c>
      <c r="AA55" s="789" t="s">
        <v>120</v>
      </c>
      <c r="AB55" s="743">
        <f t="shared" si="18"/>
        <v>98.9803308514819</v>
      </c>
      <c r="AC55" s="51"/>
      <c r="AD55" s="39"/>
    </row>
    <row r="56" spans="1:30" ht="23.25" customHeight="1">
      <c r="A56" s="778" t="s">
        <v>190</v>
      </c>
      <c r="B56" s="254">
        <f t="shared" si="8"/>
        <v>4251894.19</v>
      </c>
      <c r="C56" s="254">
        <f t="shared" si="9"/>
        <v>3932067.840000001</v>
      </c>
      <c r="D56" s="327">
        <f t="shared" si="10"/>
        <v>319826.3499999996</v>
      </c>
      <c r="E56" s="254">
        <f>'2022(пеня)'!C234+'2022(пеня)'!H234+'2022(пеня)'!L234+'2022(пеня)'!P234</f>
        <v>41802.7</v>
      </c>
      <c r="F56" s="61">
        <f>'2022(пеня)'!D234+'2022(пеня)'!I234+'2022(пеня)'!M234+'2022(пеня)'!R234</f>
        <v>41336.02</v>
      </c>
      <c r="G56" s="48">
        <f>'2022(пеня)'!C265+'2022(пеня)'!H265+'2022(пеня)'!L265+'2022(пеня)'!P265</f>
        <v>41455.079999999994</v>
      </c>
      <c r="H56" s="330">
        <f>'2022(пеня)'!D265+'2022(пеня)'!I265+'2022(пеня)'!M265+'2022(пеня)'!R265</f>
        <v>55786.7</v>
      </c>
      <c r="I56" s="331">
        <f>'2022(пеня)'!C296+'2022(пеня)'!H296+'2022(пеня)'!L296+'2022(пеня)'!P296</f>
        <v>41431.299999999996</v>
      </c>
      <c r="J56" s="330">
        <f>'2022(пеня)'!D296+'2022(пеня)'!I296+'2022(пеня)'!M296+'2022(пеня)'!R296</f>
        <v>42385.229999999996</v>
      </c>
      <c r="K56" s="48">
        <f>'2022(пеня)'!C329+'2022(пеня)'!H329+'2022(пеня)'!L329+'2022(пеня)'!P329</f>
        <v>41409.079999999994</v>
      </c>
      <c r="L56" s="61">
        <f>'2022(пеня)'!D329+'2022(пеня)'!I329+'2022(пеня)'!M329+'2022(пеня)'!R329</f>
        <v>43622.79</v>
      </c>
      <c r="M56" s="331">
        <f>'2022(пеня)'!C360+'2022(пеня)'!H360+'2022(пеня)'!L360+'2022(пеня)'!P360</f>
        <v>41393.42999999999</v>
      </c>
      <c r="N56" s="61">
        <f>'2022(пеня)'!D360+'2022(пеня)'!I360+'2022(пеня)'!M360+'2022(пеня)'!R360</f>
        <v>39490.16999999999</v>
      </c>
      <c r="O56" s="331">
        <f>'2022(пеня)'!C392+'2022(пеня)'!H392+'2022(пеня)'!L392+'2022(пеня)'!P392</f>
        <v>41460.009999999995</v>
      </c>
      <c r="P56" s="330">
        <f>'2022(пеня)'!D392+'2022(пеня)'!I392+'2022(пеня)'!M392+'2022(пеня)'!R392</f>
        <v>48333.67</v>
      </c>
      <c r="Q56" s="273">
        <f t="shared" si="12"/>
        <v>248951.59999999998</v>
      </c>
      <c r="R56" s="273">
        <f t="shared" si="13"/>
        <v>270954.58</v>
      </c>
      <c r="S56" s="60">
        <f t="shared" si="14"/>
        <v>-22002.98000000004</v>
      </c>
      <c r="T56" s="219">
        <f t="shared" si="11"/>
        <v>4500845.79</v>
      </c>
      <c r="U56" s="220">
        <f t="shared" si="15"/>
        <v>4203022.420000001</v>
      </c>
      <c r="V56" s="47">
        <f t="shared" si="19"/>
        <v>297823.3699999992</v>
      </c>
      <c r="W56" s="256">
        <v>0</v>
      </c>
      <c r="X56" s="730">
        <f t="shared" si="16"/>
        <v>4203022.420000001</v>
      </c>
      <c r="Y56" s="3"/>
      <c r="Z56" s="787">
        <f t="shared" si="17"/>
        <v>4203022.420000001</v>
      </c>
      <c r="AA56" s="790" t="s">
        <v>190</v>
      </c>
      <c r="AB56" s="743">
        <f t="shared" si="18"/>
        <v>93.38294658613489</v>
      </c>
      <c r="AC56" s="51"/>
      <c r="AD56" s="39"/>
    </row>
    <row r="57" spans="1:28" ht="15">
      <c r="A57" s="779" t="s">
        <v>191</v>
      </c>
      <c r="B57" s="254">
        <f t="shared" si="8"/>
        <v>5095323.749999999</v>
      </c>
      <c r="C57" s="254">
        <f t="shared" si="9"/>
        <v>4472320.81</v>
      </c>
      <c r="D57" s="327">
        <f t="shared" si="10"/>
        <v>623002.9399999995</v>
      </c>
      <c r="E57" s="254">
        <f>'2022(пеня)'!C235+'2022(пеня)'!H235+'2022(пеня)'!L235+'2022(пеня)'!P235</f>
        <v>50802.80000000001</v>
      </c>
      <c r="F57" s="61">
        <f>'2022(пеня)'!D235+'2022(пеня)'!I235+'2022(пеня)'!M235+'2022(пеня)'!R235</f>
        <v>54752.78</v>
      </c>
      <c r="G57" s="48">
        <f>'2022(пеня)'!C266+'2022(пеня)'!H266+'2022(пеня)'!L266+'2022(пеня)'!P266</f>
        <v>48562.83000000001</v>
      </c>
      <c r="H57" s="330">
        <f>'2022(пеня)'!D266+'2022(пеня)'!I266+'2022(пеня)'!M266+'2022(пеня)'!R266</f>
        <v>43761.380000000005</v>
      </c>
      <c r="I57" s="331">
        <f>'2022(пеня)'!C297+'2022(пеня)'!H297+'2022(пеня)'!L297+'2022(пеня)'!P297</f>
        <v>50758.770000000004</v>
      </c>
      <c r="J57" s="330">
        <f>'2022(пеня)'!D297+'2022(пеня)'!I297+'2022(пеня)'!M297+'2022(пеня)'!R297</f>
        <v>42152.36</v>
      </c>
      <c r="K57" s="48">
        <f>'2022(пеня)'!C330+'2022(пеня)'!H330+'2022(пеня)'!L330+'2022(пеня)'!P330</f>
        <v>48628.55</v>
      </c>
      <c r="L57" s="61">
        <f>'2022(пеня)'!D330+'2022(пеня)'!I330+'2022(пеня)'!M330+'2022(пеня)'!R330</f>
        <v>51975.75</v>
      </c>
      <c r="M57" s="331">
        <f>'2022(пеня)'!C361+'2022(пеня)'!H361+'2022(пеня)'!L361+'2022(пеня)'!P361</f>
        <v>48317.200000000004</v>
      </c>
      <c r="N57" s="61">
        <f>'2022(пеня)'!D361+'2022(пеня)'!I361+'2022(пеня)'!M361+'2022(пеня)'!R361</f>
        <v>46503.25</v>
      </c>
      <c r="O57" s="331">
        <f>'2022(пеня)'!C393+'2022(пеня)'!H393+'2022(пеня)'!L393+'2022(пеня)'!P393</f>
        <v>50650.78999999999</v>
      </c>
      <c r="P57" s="330">
        <f>'2022(пеня)'!D393+'2022(пеня)'!I393+'2022(пеня)'!M393+'2022(пеня)'!R393</f>
        <v>63870.18</v>
      </c>
      <c r="Q57" s="273">
        <f t="shared" si="12"/>
        <v>297720.94</v>
      </c>
      <c r="R57" s="273">
        <f t="shared" si="13"/>
        <v>303015.7</v>
      </c>
      <c r="S57" s="60">
        <f t="shared" si="14"/>
        <v>-5294.760000000009</v>
      </c>
      <c r="T57" s="219">
        <f t="shared" si="11"/>
        <v>5393044.689999999</v>
      </c>
      <c r="U57" s="220">
        <f t="shared" si="15"/>
        <v>4775336.51</v>
      </c>
      <c r="V57" s="47">
        <f t="shared" si="19"/>
        <v>617708.1799999988</v>
      </c>
      <c r="W57" s="256">
        <f>W86</f>
        <v>0</v>
      </c>
      <c r="X57" s="730">
        <f t="shared" si="16"/>
        <v>4775336.51</v>
      </c>
      <c r="Y57" s="3"/>
      <c r="Z57" s="788">
        <f t="shared" si="17"/>
        <v>4775336.51</v>
      </c>
      <c r="AA57" s="791" t="s">
        <v>191</v>
      </c>
      <c r="AB57" s="743">
        <f t="shared" si="18"/>
        <v>88.54620691081277</v>
      </c>
    </row>
    <row r="58" spans="1:28" ht="15">
      <c r="A58" s="779" t="s">
        <v>217</v>
      </c>
      <c r="B58" s="254">
        <f t="shared" si="8"/>
        <v>4270279.8</v>
      </c>
      <c r="C58" s="254">
        <f t="shared" si="9"/>
        <v>3986260.8200000003</v>
      </c>
      <c r="D58" s="327">
        <f t="shared" si="10"/>
        <v>284018.9799999995</v>
      </c>
      <c r="E58" s="254">
        <f>'2022(пеня)'!C236+'2022(пеня)'!H236+'2022(пеня)'!L236+'2022(пеня)'!P236</f>
        <v>43043.19</v>
      </c>
      <c r="F58" s="61">
        <f>'2022(пеня)'!D236+'2022(пеня)'!I236+'2022(пеня)'!M236+'2022(пеня)'!R236</f>
        <v>42102.07</v>
      </c>
      <c r="G58" s="48">
        <f>'2022(пеня)'!C267+'2022(пеня)'!H267+'2022(пеня)'!L267+'2022(пеня)'!P267</f>
        <v>42998.780000000006</v>
      </c>
      <c r="H58" s="330">
        <f>'2022(пеня)'!D267+'2022(пеня)'!I267+'2022(пеня)'!M267+'2022(пеня)'!R267</f>
        <v>38309.979999999996</v>
      </c>
      <c r="I58" s="331">
        <f>'2022(пеня)'!C298+'2022(пеня)'!H298+'2022(пеня)'!L298+'2022(пеня)'!P298</f>
        <v>42992.29</v>
      </c>
      <c r="J58" s="330">
        <f>'2022(пеня)'!D298+'2022(пеня)'!I298+'2022(пеня)'!M298+'2022(пеня)'!R298</f>
        <v>33093.34</v>
      </c>
      <c r="K58" s="48">
        <f>'2022(пеня)'!C331+'2022(пеня)'!H331+'2022(пеня)'!L331+'2022(пеня)'!P331</f>
        <v>43519.26</v>
      </c>
      <c r="L58" s="61">
        <f>'2022(пеня)'!D331+'2022(пеня)'!I331+'2022(пеня)'!M331+'2022(пеня)'!R331</f>
        <v>69741.28</v>
      </c>
      <c r="M58" s="331">
        <f>'2022(пеня)'!C362+'2022(пеня)'!H362+'2022(пеня)'!L362+'2022(пеня)'!P362</f>
        <v>43014.780000000006</v>
      </c>
      <c r="N58" s="61">
        <f>'2022(пеня)'!D362+'2022(пеня)'!I362+'2022(пеня)'!M362+'2022(пеня)'!R362</f>
        <v>41765.52</v>
      </c>
      <c r="O58" s="331">
        <f>'2022(пеня)'!C394+'2022(пеня)'!H394+'2022(пеня)'!L394+'2022(пеня)'!P394</f>
        <v>43095.850000000006</v>
      </c>
      <c r="P58" s="330">
        <f>'2022(пеня)'!D394+'2022(пеня)'!I394+'2022(пеня)'!M394+'2022(пеня)'!R394</f>
        <v>47000.049999999996</v>
      </c>
      <c r="Q58" s="273">
        <f t="shared" si="12"/>
        <v>258664.15000000002</v>
      </c>
      <c r="R58" s="273">
        <f t="shared" si="13"/>
        <v>272012.24</v>
      </c>
      <c r="S58" s="60">
        <f t="shared" si="14"/>
        <v>-13348.089999999967</v>
      </c>
      <c r="T58" s="219">
        <f t="shared" si="11"/>
        <v>4528943.95</v>
      </c>
      <c r="U58" s="220">
        <f t="shared" si="15"/>
        <v>4258273.06</v>
      </c>
      <c r="V58" s="47">
        <f t="shared" si="19"/>
        <v>270670.8900000006</v>
      </c>
      <c r="W58" s="256"/>
      <c r="X58" s="730">
        <f t="shared" si="16"/>
        <v>4258273.06</v>
      </c>
      <c r="Y58" s="3"/>
      <c r="Z58" s="788">
        <f t="shared" si="17"/>
        <v>4258273.06</v>
      </c>
      <c r="AA58" s="791" t="s">
        <v>219</v>
      </c>
      <c r="AB58" s="743">
        <f t="shared" si="18"/>
        <v>94.02353190968502</v>
      </c>
    </row>
    <row r="59" spans="1:28" ht="15.75" thickBot="1">
      <c r="A59" s="779" t="s">
        <v>230</v>
      </c>
      <c r="B59" s="254">
        <f t="shared" si="8"/>
        <v>1631116.18</v>
      </c>
      <c r="C59" s="254">
        <f t="shared" si="9"/>
        <v>1380345.0500000003</v>
      </c>
      <c r="D59" s="327">
        <f t="shared" si="10"/>
        <v>250771.12999999966</v>
      </c>
      <c r="E59" s="254">
        <f>'2022(пеня)'!C237+'2022(пеня)'!H237+'2022(пеня)'!L237+'2022(пеня)'!P237</f>
        <v>16321.25</v>
      </c>
      <c r="F59" s="61">
        <f>'2022(пеня)'!D237+'2022(пеня)'!I237+'2022(пеня)'!M237+'2022(пеня)'!R237</f>
        <v>40276.42</v>
      </c>
      <c r="G59" s="48">
        <f>'2022(пеня)'!C268+'2022(пеня)'!H268+'2022(пеня)'!L268+'2022(пеня)'!P268</f>
        <v>16237.13</v>
      </c>
      <c r="H59" s="330">
        <f>'2022(пеня)'!D268+'2022(пеня)'!I268+'2022(пеня)'!M268+'2022(пеня)'!R268</f>
        <v>25151.480000000003</v>
      </c>
      <c r="I59" s="331">
        <f>'2022(пеня)'!C299+'2022(пеня)'!H299+'2022(пеня)'!L299+'2022(пеня)'!P299</f>
        <v>15980.43</v>
      </c>
      <c r="J59" s="330">
        <f>'2022(пеня)'!D299+'2022(пеня)'!I299+'2022(пеня)'!M299+'2022(пеня)'!R299</f>
        <v>18197.56</v>
      </c>
      <c r="K59" s="48">
        <f>'2022(пеня)'!C332+'2022(пеня)'!H332+'2022(пеня)'!L332+'2022(пеня)'!P332</f>
        <v>16437.62</v>
      </c>
      <c r="L59" s="61">
        <f>'2022(пеня)'!D332+'2022(пеня)'!I332+'2022(пеня)'!M332+'2022(пеня)'!R332</f>
        <v>28536.67</v>
      </c>
      <c r="M59" s="331">
        <f>'2022(пеня)'!C363+'2022(пеня)'!H363+'2022(пеня)'!L363+'2022(пеня)'!P363</f>
        <v>16440.73</v>
      </c>
      <c r="N59" s="61">
        <f>'2022(пеня)'!D363+'2022(пеня)'!I363+'2022(пеня)'!M363+'2022(пеня)'!R363</f>
        <v>26986.4</v>
      </c>
      <c r="O59" s="48">
        <f>'2022(пеня)'!C395+'2022(пеня)'!H395+'2022(пеня)'!L395+'2022(пеня)'!P395</f>
        <v>15982.63</v>
      </c>
      <c r="P59" s="48">
        <f>'2022(пеня)'!D395+'2022(пеня)'!I395+'2022(пеня)'!M395+'2022(пеня)'!R395</f>
        <v>17298.77</v>
      </c>
      <c r="Q59" s="273">
        <f t="shared" si="12"/>
        <v>97399.79</v>
      </c>
      <c r="R59" s="777">
        <f t="shared" si="13"/>
        <v>156447.3</v>
      </c>
      <c r="S59" s="60">
        <f t="shared" si="14"/>
        <v>-59047.509999999995</v>
      </c>
      <c r="T59" s="219">
        <f t="shared" si="11"/>
        <v>1728515.9699999997</v>
      </c>
      <c r="U59" s="220">
        <f t="shared" si="15"/>
        <v>1536792.35</v>
      </c>
      <c r="V59" s="47">
        <f t="shared" si="19"/>
        <v>191723.61999999965</v>
      </c>
      <c r="W59" s="1053"/>
      <c r="X59" s="730">
        <f t="shared" si="16"/>
        <v>1536792.35</v>
      </c>
      <c r="Y59" s="3"/>
      <c r="Z59" s="3">
        <f t="shared" si="17"/>
        <v>1536792.35</v>
      </c>
      <c r="AA59" s="1054" t="s">
        <v>231</v>
      </c>
      <c r="AB59" s="743">
        <f t="shared" si="18"/>
        <v>88.9081950454875</v>
      </c>
    </row>
    <row r="60" spans="1:28" ht="15.75" thickBot="1">
      <c r="A60" s="779" t="s">
        <v>301</v>
      </c>
      <c r="B60" s="254">
        <v>0</v>
      </c>
      <c r="C60" s="254">
        <v>0</v>
      </c>
      <c r="D60" s="327">
        <v>0</v>
      </c>
      <c r="E60" s="254">
        <v>5647371.8</v>
      </c>
      <c r="F60" s="61">
        <v>4944093.41</v>
      </c>
      <c r="G60" s="48">
        <f>'2022(пеня)'!C269+'2022(пеня)'!H269+'2022(пеня)'!L269+'2022(пеня)'!P269</f>
        <v>56873.77</v>
      </c>
      <c r="H60" s="48">
        <f>'2022(пеня)'!D269+'2022(пеня)'!I269+'2022(пеня)'!M269+'2022(пеня)'!R269</f>
        <v>50715.14</v>
      </c>
      <c r="I60" s="48">
        <f>'2022(пеня)'!C300+'2022(пеня)'!H300+'2022(пеня)'!L300+'2022(пеня)'!P300</f>
        <v>538351.08</v>
      </c>
      <c r="J60" s="330">
        <f>'2022(пеня)'!D300+'2022(пеня)'!I300+'2022(пеня)'!M300+'2022(пеня)'!R300</f>
        <v>48370.67</v>
      </c>
      <c r="K60" s="48">
        <f>'2022(пеня)'!C333+'2022(пеня)'!H333+'2022(пеня)'!L333+'2022(пеня)'!P333</f>
        <v>57119.35999999999</v>
      </c>
      <c r="L60" s="61">
        <f>'2022(пеня)'!D333+'2022(пеня)'!I333+'2022(пеня)'!M333+'2022(пеня)'!R333</f>
        <v>128474.94</v>
      </c>
      <c r="M60" s="331">
        <f>'2022(пеня)'!C364+'2022(пеня)'!H364+'2022(пеня)'!L364+'2022(пеня)'!P364</f>
        <v>57362.96</v>
      </c>
      <c r="N60" s="61">
        <f>'2022(пеня)'!D364+'2022(пеня)'!I364+'2022(пеня)'!M364+'2022(пеня)'!R364</f>
        <v>150896.74000000002</v>
      </c>
      <c r="O60" s="48"/>
      <c r="P60" s="48"/>
      <c r="Q60" s="273">
        <v>0</v>
      </c>
      <c r="R60" s="1049"/>
      <c r="S60" s="60">
        <f t="shared" si="14"/>
        <v>0</v>
      </c>
      <c r="T60" s="219">
        <f t="shared" si="11"/>
        <v>92313838.56999998</v>
      </c>
      <c r="U60" s="220">
        <f t="shared" si="15"/>
        <v>5322550.9</v>
      </c>
      <c r="V60" s="47">
        <f t="shared" si="19"/>
        <v>86991287.66999997</v>
      </c>
      <c r="W60" s="1053"/>
      <c r="X60" s="730">
        <f t="shared" si="16"/>
        <v>5322550.9</v>
      </c>
      <c r="Y60" s="3"/>
      <c r="Z60" s="3">
        <f t="shared" si="17"/>
        <v>5322550.9</v>
      </c>
      <c r="AA60" s="1050"/>
      <c r="AB60" s="743"/>
    </row>
    <row r="61" spans="1:28" ht="15.75" thickBot="1">
      <c r="A61" s="779" t="s">
        <v>315</v>
      </c>
      <c r="B61" s="254">
        <v>0</v>
      </c>
      <c r="C61" s="254">
        <v>0</v>
      </c>
      <c r="D61" s="327">
        <v>0</v>
      </c>
      <c r="E61" s="254">
        <v>0</v>
      </c>
      <c r="F61" s="61">
        <v>0</v>
      </c>
      <c r="G61" s="48">
        <v>0</v>
      </c>
      <c r="H61" s="48">
        <v>0</v>
      </c>
      <c r="I61" s="48">
        <v>6325262.92</v>
      </c>
      <c r="J61" s="330">
        <v>5102475.1</v>
      </c>
      <c r="K61" s="48">
        <f>'2022(пеня)'!C334+'2022(пеня)'!H334+'2022(пеня)'!L334+'2022(пеня)'!P334</f>
        <v>62246.91</v>
      </c>
      <c r="L61" s="61">
        <f>'2022(пеня)'!D334+'2022(пеня)'!I334+'2022(пеня)'!M334+'2022(пеня)'!R334</f>
        <v>47927.72</v>
      </c>
      <c r="M61" s="331">
        <f>'2022(пеня)'!C365+'2022(пеня)'!H365+'2022(пеня)'!L365+'2022(пеня)'!P365</f>
        <v>840325.9</v>
      </c>
      <c r="N61" s="61">
        <f>'2022(пеня)'!D365+'2022(пеня)'!I365+'2022(пеня)'!M365+'2022(пеня)'!R365</f>
        <v>60878.26</v>
      </c>
      <c r="O61" s="48"/>
      <c r="P61" s="48"/>
      <c r="Q61" s="273">
        <v>0</v>
      </c>
      <c r="R61" s="1049"/>
      <c r="S61" s="60">
        <f t="shared" si="14"/>
        <v>0</v>
      </c>
      <c r="T61" s="219">
        <f t="shared" si="11"/>
        <v>7227835.73</v>
      </c>
      <c r="U61" s="220">
        <f t="shared" si="15"/>
        <v>5211281.079999999</v>
      </c>
      <c r="V61" s="1084"/>
      <c r="W61" s="1085"/>
      <c r="X61" s="1086"/>
      <c r="Y61" s="1087"/>
      <c r="Z61" s="1087"/>
      <c r="AA61" s="1050"/>
      <c r="AB61" s="743"/>
    </row>
    <row r="62" spans="1:27" ht="15.75" thickBot="1">
      <c r="A62" s="347" t="s">
        <v>21</v>
      </c>
      <c r="B62" s="348">
        <f aca="true" t="shared" si="20" ref="B62:H62">SUM(B35:B60)</f>
        <v>85956759.6</v>
      </c>
      <c r="C62" s="349">
        <f t="shared" si="20"/>
        <v>81665906.95</v>
      </c>
      <c r="D62" s="349">
        <f t="shared" si="20"/>
        <v>4290852.649999999</v>
      </c>
      <c r="E62" s="485">
        <f t="shared" si="20"/>
        <v>6530557.27</v>
      </c>
      <c r="F62" s="485">
        <f t="shared" si="20"/>
        <v>5819887.220000001</v>
      </c>
      <c r="G62" s="486">
        <f t="shared" si="20"/>
        <v>931829.54</v>
      </c>
      <c r="H62" s="486">
        <f t="shared" si="20"/>
        <v>924428.59</v>
      </c>
      <c r="I62" s="486">
        <f>SUM(I35:I61)</f>
        <v>7740609.02</v>
      </c>
      <c r="J62" s="486">
        <f>SUM(J35:J61)</f>
        <v>5960186.68</v>
      </c>
      <c r="K62" s="780">
        <f>SUM(K35:K61)</f>
        <v>994450.3000000002</v>
      </c>
      <c r="L62" s="1088">
        <f>SUM(L35:L61)</f>
        <v>1087479.82</v>
      </c>
      <c r="M62" s="1089">
        <f>SUM(M37:M61)</f>
        <v>1723156.54</v>
      </c>
      <c r="N62" s="1089">
        <f>SUM(N37:N61)</f>
        <v>1031584.31</v>
      </c>
      <c r="O62" s="1089">
        <f>SUM(O37:O57)</f>
        <v>768786.7400000002</v>
      </c>
      <c r="P62" s="1090">
        <f>SUM(P37:P57)</f>
        <v>928454.38</v>
      </c>
      <c r="Q62" s="781">
        <f>E62+G62+I62+K62+M62+O62</f>
        <v>18689389.409999996</v>
      </c>
      <c r="R62" s="781">
        <f>F62+H62+J62+L62+N62+P62</f>
        <v>15752021.000000002</v>
      </c>
      <c r="S62" s="782">
        <f>SUM(S37:S57)</f>
        <v>-53917.87000000002</v>
      </c>
      <c r="T62" s="783">
        <f>B62+E62+G62+I62+K62+M62+O62</f>
        <v>104646149.00999999</v>
      </c>
      <c r="U62" s="784">
        <f>C62+F62+H62+J62+L62+N62+P62</f>
        <v>97417927.94999999</v>
      </c>
      <c r="V62" s="785">
        <f>SUM(V35:V57)</f>
        <v>3687373.520000002</v>
      </c>
      <c r="W62" s="1052">
        <f>SUM(W35:W57)</f>
        <v>22355291.06</v>
      </c>
      <c r="X62" s="1051">
        <f>SUM(X37:X57)</f>
        <v>56029711.69999999</v>
      </c>
      <c r="Y62" s="684">
        <f>SUM(Y35:Y57)</f>
        <v>1327279.8900000001</v>
      </c>
      <c r="Z62" s="684">
        <f>SUM(Z35:Z57)</f>
        <v>60246188.959999986</v>
      </c>
      <c r="AA62" s="786"/>
    </row>
    <row r="63" ht="15">
      <c r="V63" s="39"/>
    </row>
    <row r="71" spans="7:10" ht="15">
      <c r="G71" s="57"/>
      <c r="H71" s="50"/>
      <c r="I71" s="50"/>
      <c r="J71" s="50"/>
    </row>
    <row r="72" spans="7:10" ht="15">
      <c r="G72" s="50"/>
      <c r="H72" s="50"/>
      <c r="I72" s="50"/>
      <c r="J72" s="50"/>
    </row>
    <row r="73" spans="7:10" ht="15">
      <c r="G73" s="50"/>
      <c r="H73" s="50"/>
      <c r="I73" s="50"/>
      <c r="J73" s="50"/>
    </row>
    <row r="74" spans="7:10" ht="15">
      <c r="G74" s="50"/>
      <c r="H74" s="50"/>
      <c r="I74" s="50"/>
      <c r="J74" s="50"/>
    </row>
    <row r="75" spans="7:10" ht="15">
      <c r="G75" s="50"/>
      <c r="H75" s="50"/>
      <c r="I75" s="50"/>
      <c r="J75" s="50"/>
    </row>
    <row r="76" ht="15">
      <c r="G76" s="50"/>
    </row>
    <row r="78" spans="7:9" ht="15">
      <c r="G78" s="39"/>
      <c r="I78" s="39"/>
    </row>
    <row r="79" spans="7:9" ht="15">
      <c r="G79" s="39"/>
      <c r="I79" s="39"/>
    </row>
    <row r="80" spans="7:9" ht="15">
      <c r="G80" s="39"/>
      <c r="I80" s="39"/>
    </row>
    <row r="81" spans="7:9" ht="15">
      <c r="G81" s="39"/>
      <c r="I81" s="39"/>
    </row>
    <row r="82" spans="7:9" ht="15">
      <c r="G82" s="39"/>
      <c r="I82" s="39"/>
    </row>
    <row r="83" spans="7:9" ht="15">
      <c r="G83" s="39"/>
      <c r="I83" s="39"/>
    </row>
    <row r="84" spans="7:9" ht="15">
      <c r="G84" s="39"/>
      <c r="I84" s="39"/>
    </row>
    <row r="85" spans="7:9" ht="15">
      <c r="G85" s="39"/>
      <c r="I85" s="39"/>
    </row>
    <row r="86" spans="7:9" ht="15">
      <c r="G86" s="39"/>
      <c r="I86" s="39"/>
    </row>
    <row r="87" spans="7:9" ht="15">
      <c r="G87" s="39"/>
      <c r="I87" s="39"/>
    </row>
    <row r="92" spans="1:5" ht="15">
      <c r="A92" s="1699"/>
      <c r="B92" s="1699"/>
      <c r="C92" s="1699"/>
      <c r="D92" s="1699"/>
      <c r="E92" s="1699"/>
    </row>
    <row r="93" spans="1:5" ht="15">
      <c r="A93" s="1699"/>
      <c r="B93" s="1699"/>
      <c r="C93" s="1699"/>
      <c r="D93" s="1699"/>
      <c r="E93" s="1699"/>
    </row>
    <row r="94" spans="1:7" ht="15">
      <c r="A94" s="41"/>
      <c r="B94" s="1678"/>
      <c r="C94" s="1678"/>
      <c r="D94" s="1678"/>
      <c r="E94" s="1678"/>
      <c r="F94" s="1678"/>
      <c r="G94" s="1678"/>
    </row>
    <row r="95" spans="1:7" ht="15">
      <c r="A95" s="41"/>
      <c r="B95" s="41"/>
      <c r="C95" s="41"/>
      <c r="D95" s="41"/>
      <c r="E95" s="41"/>
      <c r="F95" s="41"/>
      <c r="G95" s="41"/>
    </row>
    <row r="96" spans="1:7" ht="15">
      <c r="A96" s="65"/>
      <c r="B96" s="41"/>
      <c r="C96" s="41"/>
      <c r="D96" s="41"/>
      <c r="E96" s="41"/>
      <c r="F96" s="41"/>
      <c r="G96" s="41"/>
    </row>
    <row r="97" spans="1:7" ht="15">
      <c r="A97" s="66"/>
      <c r="B97" s="41"/>
      <c r="C97" s="41"/>
      <c r="D97" s="41"/>
      <c r="E97" s="41"/>
      <c r="F97" s="41"/>
      <c r="G97" s="41"/>
    </row>
    <row r="98" spans="1:7" ht="15">
      <c r="A98" s="65"/>
      <c r="B98" s="41"/>
      <c r="C98" s="41"/>
      <c r="D98" s="41"/>
      <c r="E98" s="41"/>
      <c r="F98" s="41"/>
      <c r="G98" s="41"/>
    </row>
    <row r="99" spans="1:7" ht="15">
      <c r="A99" s="66"/>
      <c r="B99" s="41"/>
      <c r="C99" s="41"/>
      <c r="D99" s="41"/>
      <c r="E99" s="41"/>
      <c r="F99" s="41"/>
      <c r="G99" s="41"/>
    </row>
    <row r="100" spans="1:7" ht="15">
      <c r="A100" s="41"/>
      <c r="B100" s="41"/>
      <c r="C100" s="41"/>
      <c r="D100" s="41"/>
      <c r="E100" s="41"/>
      <c r="F100" s="41"/>
      <c r="G100" s="41"/>
    </row>
    <row r="101" spans="1:7" ht="15">
      <c r="A101" s="41"/>
      <c r="B101" s="41"/>
      <c r="C101" s="41"/>
      <c r="D101" s="41"/>
      <c r="E101" s="41"/>
      <c r="F101" s="41"/>
      <c r="G101" s="41"/>
    </row>
    <row r="102" spans="1:7" ht="15">
      <c r="A102" s="67"/>
      <c r="B102" s="41"/>
      <c r="C102" s="41"/>
      <c r="D102" s="41"/>
      <c r="E102" s="41"/>
      <c r="F102" s="41"/>
      <c r="G102" s="41"/>
    </row>
    <row r="103" spans="1:7" ht="15">
      <c r="A103" s="41"/>
      <c r="B103" s="41"/>
      <c r="C103" s="41"/>
      <c r="D103" s="41"/>
      <c r="E103" s="41"/>
      <c r="F103" s="41"/>
      <c r="G103" s="41"/>
    </row>
    <row r="104" spans="1:7" ht="15">
      <c r="A104" s="41"/>
      <c r="B104" s="41"/>
      <c r="C104" s="41"/>
      <c r="D104" s="41"/>
      <c r="E104" s="41"/>
      <c r="F104" s="41"/>
      <c r="G104" s="41"/>
    </row>
    <row r="105" spans="1:7" ht="15">
      <c r="A105" s="41"/>
      <c r="B105" s="41"/>
      <c r="C105" s="41"/>
      <c r="D105" s="41"/>
      <c r="E105" s="41"/>
      <c r="F105" s="41"/>
      <c r="G105" s="41"/>
    </row>
    <row r="106" spans="1:7" ht="15">
      <c r="A106" s="59"/>
      <c r="B106" s="41"/>
      <c r="C106" s="41"/>
      <c r="D106" s="41"/>
      <c r="E106" s="41"/>
      <c r="F106" s="41"/>
      <c r="G106" s="41"/>
    </row>
    <row r="107" spans="1:7" ht="15">
      <c r="A107" s="41"/>
      <c r="B107" s="41"/>
      <c r="C107" s="41"/>
      <c r="D107" s="41"/>
      <c r="E107" s="41"/>
      <c r="F107" s="41"/>
      <c r="G107" s="41"/>
    </row>
    <row r="108" spans="1:7" ht="15">
      <c r="A108" s="59"/>
      <c r="B108" s="41"/>
      <c r="C108" s="41"/>
      <c r="D108" s="41"/>
      <c r="E108" s="41"/>
      <c r="F108" s="41"/>
      <c r="G108" s="41"/>
    </row>
    <row r="109" spans="1:7" ht="15">
      <c r="A109" s="41"/>
      <c r="B109" s="41"/>
      <c r="C109" s="41"/>
      <c r="D109" s="41"/>
      <c r="E109" s="41"/>
      <c r="F109" s="41"/>
      <c r="G109" s="41"/>
    </row>
    <row r="110" spans="1:7" ht="15">
      <c r="A110" s="41"/>
      <c r="B110" s="41"/>
      <c r="C110" s="41"/>
      <c r="D110" s="41"/>
      <c r="E110" s="41"/>
      <c r="F110" s="41"/>
      <c r="G110" s="41"/>
    </row>
    <row r="111" spans="1:7" ht="15">
      <c r="A111" s="59"/>
      <c r="B111" s="41"/>
      <c r="C111" s="41"/>
      <c r="D111" s="41"/>
      <c r="E111" s="41"/>
      <c r="F111" s="41"/>
      <c r="G111" s="41"/>
    </row>
    <row r="112" spans="1:7" ht="15">
      <c r="A112" s="64" t="s">
        <v>49</v>
      </c>
      <c r="B112" s="41">
        <v>93460.1</v>
      </c>
      <c r="C112" s="41"/>
      <c r="D112" s="41"/>
      <c r="E112" s="41"/>
      <c r="F112" s="41"/>
      <c r="G112" s="41"/>
    </row>
    <row r="113" spans="1:7" ht="15">
      <c r="A113" s="41" t="s">
        <v>19</v>
      </c>
      <c r="B113" s="41">
        <v>55435.09</v>
      </c>
      <c r="C113" s="41"/>
      <c r="D113" s="41"/>
      <c r="E113" s="41"/>
      <c r="F113" s="41"/>
      <c r="G113" s="41"/>
    </row>
    <row r="114" spans="1:7" ht="15">
      <c r="A114" s="41" t="s">
        <v>20</v>
      </c>
      <c r="B114" s="41">
        <v>32290.87</v>
      </c>
      <c r="C114" s="41"/>
      <c r="D114" s="41"/>
      <c r="E114" s="41"/>
      <c r="F114" s="41"/>
      <c r="G114" s="41"/>
    </row>
    <row r="115" spans="1:7" ht="15">
      <c r="A115" s="41" t="s">
        <v>21</v>
      </c>
      <c r="B115" s="41">
        <f>SUM(B96:B114)</f>
        <v>181186.06</v>
      </c>
      <c r="C115" s="41"/>
      <c r="D115" s="41"/>
      <c r="E115" s="41"/>
      <c r="F115" s="41"/>
      <c r="G115" s="41"/>
    </row>
  </sheetData>
  <sheetProtection/>
  <mergeCells count="21">
    <mergeCell ref="T4:X4"/>
    <mergeCell ref="I4:J4"/>
    <mergeCell ref="M4:N4"/>
    <mergeCell ref="Q4:S4"/>
    <mergeCell ref="O4:P4"/>
    <mergeCell ref="E33:F33"/>
    <mergeCell ref="G33:H33"/>
    <mergeCell ref="Q33:S33"/>
    <mergeCell ref="C2:E2"/>
    <mergeCell ref="E4:F4"/>
    <mergeCell ref="G4:H4"/>
    <mergeCell ref="B4:D4"/>
    <mergeCell ref="A92:E93"/>
    <mergeCell ref="K4:L4"/>
    <mergeCell ref="B94:G94"/>
    <mergeCell ref="T33:X33"/>
    <mergeCell ref="I33:J33"/>
    <mergeCell ref="K33:L33"/>
    <mergeCell ref="M33:N33"/>
    <mergeCell ref="O33:P33"/>
    <mergeCell ref="B33:D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26">
      <selection activeCell="E11" sqref="E11"/>
    </sheetView>
  </sheetViews>
  <sheetFormatPr defaultColWidth="9.140625" defaultRowHeight="15"/>
  <cols>
    <col min="1" max="1" width="23.7109375" style="0" customWidth="1"/>
    <col min="2" max="2" width="16.00390625" style="0" customWidth="1"/>
    <col min="3" max="4" width="18.7109375" style="0" customWidth="1"/>
    <col min="5" max="5" width="16.8515625" style="0" customWidth="1"/>
    <col min="6" max="6" width="13.00390625" style="0" customWidth="1"/>
    <col min="7" max="7" width="12.00390625" style="0" customWidth="1"/>
    <col min="8" max="8" width="14.28125" style="0" customWidth="1"/>
  </cols>
  <sheetData>
    <row r="1" spans="1:8" ht="15">
      <c r="A1" s="1715" t="s">
        <v>431</v>
      </c>
      <c r="B1" s="1715"/>
      <c r="C1" s="1715"/>
      <c r="D1" s="1715"/>
      <c r="E1" s="1715"/>
      <c r="F1" s="41"/>
      <c r="G1" s="815"/>
      <c r="H1" s="41"/>
    </row>
    <row r="2" spans="1:8" ht="15">
      <c r="A2" s="1715" t="s">
        <v>194</v>
      </c>
      <c r="B2" s="1715"/>
      <c r="C2" s="1715"/>
      <c r="D2" s="1715"/>
      <c r="E2" s="1715"/>
      <c r="F2" s="41"/>
      <c r="G2" s="815"/>
      <c r="H2" s="41"/>
    </row>
    <row r="3" spans="1:8" ht="15" customHeight="1">
      <c r="A3" s="1711" t="s">
        <v>195</v>
      </c>
      <c r="B3" s="1711" t="s">
        <v>196</v>
      </c>
      <c r="C3" s="1713" t="s">
        <v>197</v>
      </c>
      <c r="D3" s="1711" t="s">
        <v>276</v>
      </c>
      <c r="E3" s="1711" t="s">
        <v>199</v>
      </c>
      <c r="F3" s="1711" t="s">
        <v>200</v>
      </c>
      <c r="G3" s="1713" t="s">
        <v>201</v>
      </c>
      <c r="H3" s="1708" t="s">
        <v>88</v>
      </c>
    </row>
    <row r="4" spans="1:8" ht="15" customHeight="1">
      <c r="A4" s="1711"/>
      <c r="B4" s="1711"/>
      <c r="C4" s="1713"/>
      <c r="D4" s="1711"/>
      <c r="E4" s="1711"/>
      <c r="F4" s="1711"/>
      <c r="G4" s="1713"/>
      <c r="H4" s="1709"/>
    </row>
    <row r="5" spans="1:8" ht="15" customHeight="1">
      <c r="A5" s="1711"/>
      <c r="B5" s="1711"/>
      <c r="C5" s="1713"/>
      <c r="D5" s="1711"/>
      <c r="E5" s="1711"/>
      <c r="F5" s="1711"/>
      <c r="G5" s="1713"/>
      <c r="H5" s="1709"/>
    </row>
    <row r="6" spans="1:8" ht="15" customHeight="1">
      <c r="A6" s="1711"/>
      <c r="B6" s="1711"/>
      <c r="C6" s="1713"/>
      <c r="D6" s="1711"/>
      <c r="E6" s="1711"/>
      <c r="F6" s="1711"/>
      <c r="G6" s="1713"/>
      <c r="H6" s="1709"/>
    </row>
    <row r="7" spans="1:8" ht="15" customHeight="1">
      <c r="A7" s="1711"/>
      <c r="B7" s="1711"/>
      <c r="C7" s="1713"/>
      <c r="D7" s="1711"/>
      <c r="E7" s="1711"/>
      <c r="F7" s="1711"/>
      <c r="G7" s="1713"/>
      <c r="H7" s="1709"/>
    </row>
    <row r="8" spans="1:8" ht="15" customHeight="1">
      <c r="A8" s="1711"/>
      <c r="B8" s="1711"/>
      <c r="C8" s="1713"/>
      <c r="D8" s="1711"/>
      <c r="E8" s="1711"/>
      <c r="F8" s="1711"/>
      <c r="G8" s="1713"/>
      <c r="H8" s="1709"/>
    </row>
    <row r="9" spans="1:8" ht="15">
      <c r="A9" s="1711"/>
      <c r="B9" s="1711"/>
      <c r="C9" s="1713"/>
      <c r="D9" s="1712"/>
      <c r="E9" s="1712"/>
      <c r="F9" s="1712"/>
      <c r="G9" s="1714"/>
      <c r="H9" s="1709"/>
    </row>
    <row r="10" spans="1:8" ht="15">
      <c r="A10" s="1711"/>
      <c r="B10" s="1711"/>
      <c r="C10" s="1713"/>
      <c r="D10" s="1712"/>
      <c r="E10" s="1712"/>
      <c r="F10" s="1712"/>
      <c r="G10" s="1714"/>
      <c r="H10" s="1710"/>
    </row>
    <row r="11" spans="1:8" ht="18.75">
      <c r="A11" s="431" t="s">
        <v>47</v>
      </c>
      <c r="B11" s="693">
        <v>3588.2</v>
      </c>
      <c r="C11" s="694">
        <v>5.3</v>
      </c>
      <c r="D11" s="947">
        <f>'2022(пеня)'!C38+'2022(пеня)'!C67+'2022(пеня)'!AA6</f>
        <v>39403.159999999996</v>
      </c>
      <c r="E11" s="693">
        <f>'2022(пеня)'!C96+'2022(пеня)'!C125+'2022(пеня)'!C154</f>
        <v>40009.17</v>
      </c>
      <c r="F11" s="41">
        <f>'2022(пеня)'!C183+'2022(пеня)'!C213+'2022(пеня)'!C244</f>
        <v>40009.17</v>
      </c>
      <c r="G11" s="816">
        <f>'2022(пеня)'!C275+'2022(пеня)'!C308+'2022(пеня)'!C339</f>
        <v>40009.17</v>
      </c>
      <c r="H11" s="8">
        <f>E11+F11+G11</f>
        <v>120027.51</v>
      </c>
    </row>
    <row r="12" spans="1:8" ht="18.75">
      <c r="A12" s="431" t="s">
        <v>53</v>
      </c>
      <c r="B12" s="695">
        <v>4116.7</v>
      </c>
      <c r="C12" s="695">
        <v>7.32</v>
      </c>
      <c r="D12" s="947">
        <f>'2022(пеня)'!C39+'2022(пеня)'!C68+'2022(пеня)'!AA7</f>
        <v>89265.18000000001</v>
      </c>
      <c r="E12" s="693">
        <f>'2022(пеня)'!C97+'2022(пеня)'!C126+'2022(пеня)'!C155</f>
        <v>89265.19</v>
      </c>
      <c r="F12" s="41">
        <f>'2022(пеня)'!C184+'2022(пеня)'!C214+'2022(пеня)'!C245</f>
        <v>89265.18000000001</v>
      </c>
      <c r="G12" s="816">
        <f>'2022(пеня)'!C276+'2022(пеня)'!C309+'2022(пеня)'!C340</f>
        <v>89323.74</v>
      </c>
      <c r="H12" s="8">
        <f aca="true" t="shared" si="0" ref="H12:H36">E12+F12+G12</f>
        <v>267854.11</v>
      </c>
    </row>
    <row r="13" spans="1:8" ht="18.75" hidden="1">
      <c r="A13" s="431" t="s">
        <v>198</v>
      </c>
      <c r="B13" s="695"/>
      <c r="C13" s="695"/>
      <c r="D13" s="947">
        <f>'2022(пеня)'!C40+'2022(пеня)'!C69+'2022(пеня)'!AA8</f>
        <v>0</v>
      </c>
      <c r="E13" s="693">
        <f>'2022(пеня)'!C98+'2022(пеня)'!C127+'2022(пеня)'!C156</f>
        <v>0</v>
      </c>
      <c r="F13" s="41">
        <f>'2022(пеня)'!C185+'2022(пеня)'!C215+'2022(пеня)'!C246</f>
        <v>0</v>
      </c>
      <c r="G13" s="816">
        <f>'2022(пеня)'!C277+'2022(пеня)'!C310+'2022(пеня)'!C341</f>
        <v>0</v>
      </c>
      <c r="H13" s="8">
        <f t="shared" si="0"/>
        <v>0</v>
      </c>
    </row>
    <row r="14" spans="1:8" ht="18.75">
      <c r="A14" s="431" t="s">
        <v>48</v>
      </c>
      <c r="B14" s="693">
        <v>14339.9</v>
      </c>
      <c r="C14" s="693">
        <v>5.3</v>
      </c>
      <c r="D14" s="947">
        <f>'2022(пеня)'!C41+'2022(пеня)'!C70+'2022(пеня)'!AA9</f>
        <v>216866.5</v>
      </c>
      <c r="E14" s="693">
        <f>'2022(пеня)'!C99+'2022(пеня)'!C128+'2022(пеня)'!C157</f>
        <v>218809.11</v>
      </c>
      <c r="F14" s="41">
        <f>'2022(пеня)'!C186+'2022(пеня)'!C216+'2022(пеня)'!C247</f>
        <v>214777.03999999998</v>
      </c>
      <c r="G14" s="816">
        <f>'2022(пеня)'!C278+'2022(пеня)'!C311+'2022(пеня)'!C342</f>
        <v>216876</v>
      </c>
      <c r="H14" s="8">
        <f t="shared" si="0"/>
        <v>650462.1499999999</v>
      </c>
    </row>
    <row r="15" spans="1:8" ht="18.75">
      <c r="A15" s="431" t="s">
        <v>9</v>
      </c>
      <c r="B15" s="693">
        <v>3682.5</v>
      </c>
      <c r="C15" s="693">
        <v>5.3</v>
      </c>
      <c r="D15" s="947">
        <f>'2022(пеня)'!C42+'2022(пеня)'!C71+'2022(пеня)'!AA10</f>
        <v>53148.450000000004</v>
      </c>
      <c r="E15" s="693">
        <f>'2022(пеня)'!C100+'2022(пеня)'!C129+'2022(пеня)'!C158</f>
        <v>53571.87</v>
      </c>
      <c r="F15" s="41">
        <f>'2022(пеня)'!C187+'2022(пеня)'!C217+'2022(пеня)'!C248</f>
        <v>53571.87</v>
      </c>
      <c r="G15" s="816">
        <f>'2022(пеня)'!C279+'2022(пеня)'!C312+'2022(пеня)'!C343</f>
        <v>54061.59</v>
      </c>
      <c r="H15" s="8">
        <f t="shared" si="0"/>
        <v>161205.33000000002</v>
      </c>
    </row>
    <row r="16" spans="1:8" ht="18.75">
      <c r="A16" s="431" t="s">
        <v>10</v>
      </c>
      <c r="B16" s="696">
        <v>1470.9</v>
      </c>
      <c r="C16" s="696">
        <v>5.3</v>
      </c>
      <c r="D16" s="947">
        <f>'2022(пеня)'!C43+'2022(пеня)'!C72+'2022(пеня)'!AA11</f>
        <v>23387.31</v>
      </c>
      <c r="E16" s="693">
        <f>'2022(пеня)'!C101+'2022(пеня)'!C130+'2022(пеня)'!C159</f>
        <v>23387.31</v>
      </c>
      <c r="F16" s="41">
        <f>'2022(пеня)'!C188+'2022(пеня)'!C218+'2022(пеня)'!C249</f>
        <v>23387.31</v>
      </c>
      <c r="G16" s="816">
        <f>'2022(пеня)'!C280+'2022(пеня)'!C313+'2022(пеня)'!C344</f>
        <v>23387.31</v>
      </c>
      <c r="H16" s="8">
        <f t="shared" si="0"/>
        <v>70161.93000000001</v>
      </c>
    </row>
    <row r="17" spans="1:8" ht="18.75">
      <c r="A17" s="431" t="s">
        <v>11</v>
      </c>
      <c r="B17" s="697">
        <v>1465.7</v>
      </c>
      <c r="C17" s="697">
        <v>5.3</v>
      </c>
      <c r="D17" s="947">
        <f>'2022(пеня)'!C44+'2022(пеня)'!C73+'2022(пеня)'!AA12</f>
        <v>23304.63</v>
      </c>
      <c r="E17" s="693">
        <f>'2022(пеня)'!C102+'2022(пеня)'!C131+'2022(пеня)'!C160</f>
        <v>23304.63</v>
      </c>
      <c r="F17" s="41">
        <f>'2022(пеня)'!C189+'2022(пеня)'!C219+'2022(пеня)'!C250</f>
        <v>23304.63</v>
      </c>
      <c r="G17" s="816">
        <f>'2022(пеня)'!C281+'2022(пеня)'!C314+'2022(пеня)'!C345</f>
        <v>23304.63</v>
      </c>
      <c r="H17" s="8">
        <f t="shared" si="0"/>
        <v>69913.89</v>
      </c>
    </row>
    <row r="18" spans="1:8" ht="18.75">
      <c r="A18" s="431" t="s">
        <v>12</v>
      </c>
      <c r="B18" s="696">
        <v>8777.2</v>
      </c>
      <c r="C18" s="696">
        <v>5.3</v>
      </c>
      <c r="D18" s="947">
        <f>'2022(пеня)'!C45+'2022(пеня)'!C74+'2022(пеня)'!AA13</f>
        <v>133377.96</v>
      </c>
      <c r="E18" s="693">
        <f>'2022(пеня)'!C103+'2022(пеня)'!C132+'2022(пеня)'!C161</f>
        <v>133377.96</v>
      </c>
      <c r="F18" s="41">
        <f>'2022(пеня)'!C190+'2022(пеня)'!C220+'2022(пеня)'!C251</f>
        <v>133393.7</v>
      </c>
      <c r="G18" s="816">
        <f>'2022(пеня)'!C282+'2022(пеня)'!C315+'2022(пеня)'!C346</f>
        <v>133410.06</v>
      </c>
      <c r="H18" s="8">
        <f t="shared" si="0"/>
        <v>400181.72000000003</v>
      </c>
    </row>
    <row r="19" spans="1:8" ht="18.75">
      <c r="A19" s="431" t="s">
        <v>13</v>
      </c>
      <c r="B19" s="696">
        <v>5112.1</v>
      </c>
      <c r="C19" s="696">
        <v>5.3</v>
      </c>
      <c r="D19" s="947">
        <f>'2022(пеня)'!C46+'2022(пеня)'!C75+'2022(пеня)'!AA14</f>
        <v>78819.48</v>
      </c>
      <c r="E19" s="693">
        <f>'2022(пеня)'!C104+'2022(пеня)'!C133+'2022(пеня)'!C162</f>
        <v>78819.48</v>
      </c>
      <c r="F19" s="41">
        <f>'2022(пеня)'!C191+'2022(пеня)'!C221+'2022(пеня)'!C252</f>
        <v>78819.48</v>
      </c>
      <c r="G19" s="816">
        <f>'2022(пеня)'!C283+'2022(пеня)'!C316+'2022(пеня)'!C347</f>
        <v>78819.48</v>
      </c>
      <c r="H19" s="8">
        <f t="shared" si="0"/>
        <v>236458.44</v>
      </c>
    </row>
    <row r="20" spans="1:8" ht="18.75">
      <c r="A20" s="431" t="s">
        <v>14</v>
      </c>
      <c r="B20" s="696">
        <v>6538.2</v>
      </c>
      <c r="C20" s="696">
        <v>5.3</v>
      </c>
      <c r="D20" s="947">
        <f>'2022(пеня)'!C47+'2022(пеня)'!C76+'2022(пеня)'!AA15</f>
        <v>97245.99</v>
      </c>
      <c r="E20" s="693">
        <f>'2022(пеня)'!C105+'2022(пеня)'!C134+'2022(пеня)'!C163</f>
        <v>97245.99</v>
      </c>
      <c r="F20" s="41">
        <f>'2022(пеня)'!C192+'2022(пеня)'!C222+'2022(пеня)'!C253</f>
        <v>97246</v>
      </c>
      <c r="G20" s="816">
        <f>'2022(пеня)'!C284+'2022(пеня)'!C317+'2022(пеня)'!C348</f>
        <v>97245.99</v>
      </c>
      <c r="H20" s="8">
        <f t="shared" si="0"/>
        <v>291737.98</v>
      </c>
    </row>
    <row r="21" spans="1:8" ht="18.75">
      <c r="A21" s="431" t="s">
        <v>55</v>
      </c>
      <c r="B21" s="696">
        <v>2890</v>
      </c>
      <c r="C21" s="696">
        <v>5.3</v>
      </c>
      <c r="D21" s="947">
        <f>'2022(пеня)'!C48+'2022(пеня)'!C77+'2022(пеня)'!AA16</f>
        <v>44276.76</v>
      </c>
      <c r="E21" s="693">
        <f>'2022(пеня)'!C106+'2022(пеня)'!C135+'2022(пеня)'!C164</f>
        <v>44276.76</v>
      </c>
      <c r="F21" s="41">
        <f>'2022(пеня)'!C193+'2022(пеня)'!C223+'2022(пеня)'!C254</f>
        <v>44276.76</v>
      </c>
      <c r="G21" s="816">
        <f>'2022(пеня)'!C285+'2022(пеня)'!C318+'2022(пеня)'!C349</f>
        <v>44276.76</v>
      </c>
      <c r="H21" s="8">
        <f t="shared" si="0"/>
        <v>132830.28</v>
      </c>
    </row>
    <row r="22" spans="1:8" ht="18.75">
      <c r="A22" s="431" t="s">
        <v>15</v>
      </c>
      <c r="B22" s="696">
        <v>6916.6</v>
      </c>
      <c r="C22" s="696">
        <v>5.3</v>
      </c>
      <c r="D22" s="947">
        <f>'2022(пеня)'!C49+'2022(пеня)'!C78+'2022(пеня)'!AA17</f>
        <v>104100.48000000001</v>
      </c>
      <c r="E22" s="693">
        <f>'2022(пеня)'!C107+'2022(пеня)'!C136+'2022(пеня)'!C165</f>
        <v>104117.97</v>
      </c>
      <c r="F22" s="41">
        <f>'2022(пеня)'!C194+'2022(пеня)'!C224+'2022(пеня)'!C255</f>
        <v>104117.97</v>
      </c>
      <c r="G22" s="816">
        <f>'2022(пеня)'!C286+'2022(пеня)'!C319+'2022(пеня)'!C350</f>
        <v>104117.97</v>
      </c>
      <c r="H22" s="8">
        <f t="shared" si="0"/>
        <v>312353.91000000003</v>
      </c>
    </row>
    <row r="23" spans="1:8" ht="18.75">
      <c r="A23" s="431" t="s">
        <v>16</v>
      </c>
      <c r="B23" s="696">
        <v>5381.9</v>
      </c>
      <c r="C23" s="696">
        <v>5.3</v>
      </c>
      <c r="D23" s="947">
        <f>'2022(пеня)'!C50+'2022(пеня)'!C79+'2022(пеня)'!AA18</f>
        <v>84732.69</v>
      </c>
      <c r="E23" s="693">
        <f>'2022(пеня)'!C108+'2022(пеня)'!C137+'2022(пеня)'!C166</f>
        <v>84732.69</v>
      </c>
      <c r="F23" s="41">
        <f>'2022(пеня)'!C195+'2022(пеня)'!C225+'2022(пеня)'!C256</f>
        <v>84732.69</v>
      </c>
      <c r="G23" s="816">
        <f>'2022(пеня)'!C287+'2022(пеня)'!C320+'2022(пеня)'!C351</f>
        <v>84732.69</v>
      </c>
      <c r="H23" s="8">
        <f t="shared" si="0"/>
        <v>254198.07</v>
      </c>
    </row>
    <row r="24" spans="1:8" ht="18.75">
      <c r="A24" s="431" t="s">
        <v>17</v>
      </c>
      <c r="B24" s="696">
        <v>7123.2</v>
      </c>
      <c r="C24" s="696">
        <v>5.3</v>
      </c>
      <c r="D24" s="947">
        <f>'2022(пеня)'!C51+'2022(пеня)'!C80+'2022(пеня)'!AA19</f>
        <v>110323.74</v>
      </c>
      <c r="E24" s="693">
        <f>'2022(пеня)'!C109+'2022(пеня)'!C138+'2022(пеня)'!C167</f>
        <v>110310.53</v>
      </c>
      <c r="F24" s="41">
        <f>'2022(пеня)'!C196+'2022(пеня)'!C226+'2022(пеня)'!C257</f>
        <v>110323.74</v>
      </c>
      <c r="G24" s="816">
        <f>'2022(пеня)'!C288+'2022(пеня)'!C321+'2022(пеня)'!C352</f>
        <v>110323.74</v>
      </c>
      <c r="H24" s="8">
        <f t="shared" si="0"/>
        <v>330958.01</v>
      </c>
    </row>
    <row r="25" spans="1:8" ht="18.75">
      <c r="A25" s="431" t="s">
        <v>18</v>
      </c>
      <c r="B25" s="696">
        <v>15238.9</v>
      </c>
      <c r="C25" s="696">
        <v>5.3</v>
      </c>
      <c r="D25" s="947">
        <f>'2022(пеня)'!C52+'2022(пеня)'!C81+'2022(пеня)'!AA20</f>
        <v>235831.97999999998</v>
      </c>
      <c r="E25" s="693">
        <f>'2022(пеня)'!C110+'2022(пеня)'!C139+'2022(пеня)'!C168</f>
        <v>235662.75</v>
      </c>
      <c r="F25" s="41">
        <f>'2022(пеня)'!C197+'2022(пеня)'!C227+'2022(пеня)'!C258</f>
        <v>235132.38</v>
      </c>
      <c r="G25" s="816">
        <f>'2022(пеня)'!C289+'2022(пеня)'!C322+'2022(пеня)'!C353</f>
        <v>235148.30000000002</v>
      </c>
      <c r="H25" s="8">
        <f t="shared" si="0"/>
        <v>705943.43</v>
      </c>
    </row>
    <row r="26" spans="1:8" ht="18.75">
      <c r="A26" s="431" t="s">
        <v>54</v>
      </c>
      <c r="B26" s="696">
        <v>6392</v>
      </c>
      <c r="C26" s="696">
        <v>5.3</v>
      </c>
      <c r="D26" s="947">
        <f>'2022(пеня)'!C53+'2022(пеня)'!C82+'2022(пеня)'!AA21</f>
        <v>100839.56</v>
      </c>
      <c r="E26" s="693">
        <f>'2022(пеня)'!C111+'2022(пеня)'!C140+'2022(пеня)'!C169</f>
        <v>100836.20999999999</v>
      </c>
      <c r="F26" s="41">
        <f>'2022(пеня)'!C198+'2022(пеня)'!C228+'2022(пеня)'!C259</f>
        <v>100854.07999999999</v>
      </c>
      <c r="G26" s="816">
        <f>'2022(пеня)'!C290+'2022(пеня)'!C323+'2022(пеня)'!C354</f>
        <v>100853.70000000001</v>
      </c>
      <c r="H26" s="8">
        <f t="shared" si="0"/>
        <v>302543.99</v>
      </c>
    </row>
    <row r="27" spans="1:8" ht="18.75">
      <c r="A27" s="431" t="s">
        <v>49</v>
      </c>
      <c r="B27" s="696">
        <v>14249.2</v>
      </c>
      <c r="C27" s="696">
        <v>5.3</v>
      </c>
      <c r="D27" s="947">
        <f>'2022(пеня)'!C54+'2022(пеня)'!C83+'2022(пеня)'!AA22</f>
        <v>214477.78000000003</v>
      </c>
      <c r="E27" s="693">
        <f>'2022(пеня)'!C112+'2022(пеня)'!C141+'2022(пеня)'!C170</f>
        <v>214476.72999999998</v>
      </c>
      <c r="F27" s="41">
        <f>'2022(пеня)'!C199+'2022(пеня)'!C229+'2022(пеня)'!C260</f>
        <v>214476.72000000003</v>
      </c>
      <c r="G27" s="816">
        <f>'2022(пеня)'!C291+'2022(пеня)'!C324+'2022(пеня)'!C355</f>
        <v>214476.72000000003</v>
      </c>
      <c r="H27" s="8">
        <f t="shared" si="0"/>
        <v>643430.17</v>
      </c>
    </row>
    <row r="28" spans="1:8" ht="18.75">
      <c r="A28" s="431" t="s">
        <v>19</v>
      </c>
      <c r="B28" s="696">
        <v>10215.2</v>
      </c>
      <c r="C28" s="696">
        <v>5.3</v>
      </c>
      <c r="D28" s="947">
        <f>'2022(пеня)'!C55+'2022(пеня)'!C84+'2022(пеня)'!AA23</f>
        <v>158257.47</v>
      </c>
      <c r="E28" s="693">
        <f>'2022(пеня)'!C113+'2022(пеня)'!C142+'2022(пеня)'!C171</f>
        <v>158257.47999999998</v>
      </c>
      <c r="F28" s="41">
        <f>'2022(пеня)'!C200+'2022(пеня)'!C230+'2022(пеня)'!C261</f>
        <v>158257.47</v>
      </c>
      <c r="G28" s="816">
        <f>'2022(пеня)'!C292+'2022(пеня)'!C325+'2022(пеня)'!C356</f>
        <v>158257.47</v>
      </c>
      <c r="H28" s="8">
        <f t="shared" si="0"/>
        <v>474772.4199999999</v>
      </c>
    </row>
    <row r="29" spans="1:8" ht="18.75">
      <c r="A29" s="449" t="s">
        <v>20</v>
      </c>
      <c r="B29" s="696">
        <v>6597.5</v>
      </c>
      <c r="C29" s="696">
        <v>5.3</v>
      </c>
      <c r="D29" s="947">
        <f>'2022(пеня)'!C56+'2022(пеня)'!C85+'2022(пеня)'!AA24</f>
        <v>102822.15000000001</v>
      </c>
      <c r="E29" s="693">
        <f>'2022(пеня)'!C114+'2022(пеня)'!C143+'2022(пеня)'!C172</f>
        <v>102822.15000000001</v>
      </c>
      <c r="F29" s="41">
        <f>'2022(пеня)'!C201+'2022(пеня)'!C231+'2022(пеня)'!C262</f>
        <v>102822.15000000001</v>
      </c>
      <c r="G29" s="816">
        <f>'2022(пеня)'!C293+'2022(пеня)'!C326+'2022(пеня)'!C357</f>
        <v>102822.15000000001</v>
      </c>
      <c r="H29" s="8">
        <f t="shared" si="0"/>
        <v>308466.45</v>
      </c>
    </row>
    <row r="30" spans="1:8" ht="18.75">
      <c r="A30" s="698" t="s">
        <v>114</v>
      </c>
      <c r="B30" s="696">
        <v>8143.1</v>
      </c>
      <c r="C30" s="696">
        <v>5.3</v>
      </c>
      <c r="D30" s="947">
        <f>'2022(пеня)'!C57+'2022(пеня)'!C86+'2022(пеня)'!AA25</f>
        <v>125489.16</v>
      </c>
      <c r="E30" s="693">
        <f>'2022(пеня)'!C115+'2022(пеня)'!C144+'2022(пеня)'!C173</f>
        <v>125489.16</v>
      </c>
      <c r="F30" s="41">
        <f>'2022(пеня)'!C202+'2022(пеня)'!C232+'2022(пеня)'!C263</f>
        <v>125499.66999999998</v>
      </c>
      <c r="G30" s="816">
        <f>'2022(пеня)'!C294+'2022(пеня)'!C327+'2022(пеня)'!C358</f>
        <v>125500.29000000001</v>
      </c>
      <c r="H30" s="8">
        <f t="shared" si="0"/>
        <v>376489.12</v>
      </c>
    </row>
    <row r="31" spans="1:8" ht="18.75">
      <c r="A31" s="383" t="s">
        <v>124</v>
      </c>
      <c r="B31" s="696">
        <v>2811.9</v>
      </c>
      <c r="C31" s="696">
        <v>5.3</v>
      </c>
      <c r="D31" s="947">
        <f>'2022(пеня)'!C58+'2022(пеня)'!C87+'2022(пеня)'!AA26</f>
        <v>44709.21</v>
      </c>
      <c r="E31" s="693">
        <f>'2022(пеня)'!C116+'2022(пеня)'!C145+'2022(пеня)'!C174</f>
        <v>44709.21</v>
      </c>
      <c r="F31" s="41">
        <f>'2022(пеня)'!C203+'2022(пеня)'!C233+'2022(пеня)'!C264</f>
        <v>44709.21</v>
      </c>
      <c r="G31" s="816">
        <f>'2022(пеня)'!C295+'2022(пеня)'!C328+'2022(пеня)'!C359</f>
        <v>44709.21</v>
      </c>
      <c r="H31" s="8">
        <f t="shared" si="0"/>
        <v>134127.63</v>
      </c>
    </row>
    <row r="32" spans="1:8" ht="18.75">
      <c r="A32" s="383" t="s">
        <v>188</v>
      </c>
      <c r="B32" s="696">
        <v>7937.8</v>
      </c>
      <c r="C32" s="696">
        <v>5.3</v>
      </c>
      <c r="D32" s="947">
        <f>'2022(пеня)'!C59+'2022(пеня)'!C88+'2022(пеня)'!AA27</f>
        <v>118653.75</v>
      </c>
      <c r="E32" s="693">
        <f>'2022(пеня)'!C117+'2022(пеня)'!C146+'2022(пеня)'!C175</f>
        <v>118653.75</v>
      </c>
      <c r="F32" s="41">
        <f>'2022(пеня)'!C204+'2022(пеня)'!C234+'2022(пеня)'!C265</f>
        <v>118653.75</v>
      </c>
      <c r="G32" s="816">
        <f>'2022(пеня)'!C296+'2022(пеня)'!C329+'2022(пеня)'!C360</f>
        <v>118653.75</v>
      </c>
      <c r="H32" s="8">
        <f t="shared" si="0"/>
        <v>355961.25</v>
      </c>
    </row>
    <row r="33" spans="1:8" ht="18.75">
      <c r="A33" s="383" t="s">
        <v>189</v>
      </c>
      <c r="B33" s="696">
        <v>9281.9</v>
      </c>
      <c r="C33" s="696">
        <v>5.3</v>
      </c>
      <c r="D33" s="947">
        <f>'2022(пеня)'!C60+'2022(пеня)'!C89+'2022(пеня)'!AA28</f>
        <v>136895.82</v>
      </c>
      <c r="E33" s="693">
        <f>'2022(пеня)'!C118+'2022(пеня)'!C147+'2022(пеня)'!C176</f>
        <v>136895.82</v>
      </c>
      <c r="F33" s="41">
        <f>'2022(пеня)'!C205+'2022(пеня)'!C235+'2022(пеня)'!C266</f>
        <v>136895.82</v>
      </c>
      <c r="G33" s="816">
        <f>'2022(пеня)'!C297+'2022(пеня)'!C330+'2022(пеня)'!C361</f>
        <v>136895.82</v>
      </c>
      <c r="H33" s="8">
        <f t="shared" si="0"/>
        <v>410687.46</v>
      </c>
    </row>
    <row r="34" spans="1:8" ht="18.75">
      <c r="A34" s="383" t="s">
        <v>216</v>
      </c>
      <c r="B34" s="696">
        <v>8107.2</v>
      </c>
      <c r="C34" s="696">
        <v>5.3</v>
      </c>
      <c r="D34" s="947">
        <f>'2022(пеня)'!C61+'2022(пеня)'!C90+'2022(пеня)'!AA29</f>
        <v>126972.85</v>
      </c>
      <c r="E34" s="693">
        <f>'2022(пеня)'!C119+'2022(пеня)'!C148+'2022(пеня)'!C177</f>
        <v>126977.41</v>
      </c>
      <c r="F34" s="41">
        <f>'2022(пеня)'!C206+'2022(пеня)'!C236+'2022(пеня)'!C267</f>
        <v>126977.40000000001</v>
      </c>
      <c r="G34" s="816">
        <f>'2022(пеня)'!C298+'2022(пеня)'!C331+'2022(пеня)'!C362</f>
        <v>126977.40000000001</v>
      </c>
      <c r="H34" s="8">
        <f t="shared" si="0"/>
        <v>380932.21</v>
      </c>
    </row>
    <row r="35" spans="1:8" ht="18.75">
      <c r="A35" s="383" t="s">
        <v>231</v>
      </c>
      <c r="B35" s="1005">
        <v>2971.3</v>
      </c>
      <c r="C35" s="948">
        <v>5.3</v>
      </c>
      <c r="D35" s="1014">
        <f>'2022(пеня)'!C62+'2022(пеня)'!C91+'2022(пеня)'!AA30</f>
        <v>165084.67000000004</v>
      </c>
      <c r="E35" s="695">
        <f>'2022(пеня)'!C120+'2022(пеня)'!C149+'2022(пеня)'!C178</f>
        <v>47243.67</v>
      </c>
      <c r="F35" s="40">
        <f>'2022(пеня)'!C207+'2022(пеня)'!C237+'2022(пеня)'!C268</f>
        <v>47243.67</v>
      </c>
      <c r="G35" s="1057">
        <f>'2022(пеня)'!C299+'2022(пеня)'!C332+'2022(пеня)'!C363</f>
        <v>47243.68</v>
      </c>
      <c r="H35" s="1015">
        <f t="shared" si="0"/>
        <v>141731.02</v>
      </c>
    </row>
    <row r="36" spans="1:8" ht="18.75">
      <c r="A36" s="383" t="s">
        <v>305</v>
      </c>
      <c r="B36" s="1185">
        <v>10956.3</v>
      </c>
      <c r="C36" s="1185">
        <v>5.3</v>
      </c>
      <c r="D36" s="1014"/>
      <c r="E36" s="1064"/>
      <c r="F36" s="1015">
        <f>'2022(пеня)'!C238+'2022(пеня)'!C269</f>
        <v>111068.92</v>
      </c>
      <c r="G36" s="1057">
        <f>'2022(пеня)'!C300+'2022(пеня)'!C333+'2022(пеня)'!C364</f>
        <v>647544.6099999999</v>
      </c>
      <c r="H36" s="1015">
        <f t="shared" si="0"/>
        <v>758613.5299999999</v>
      </c>
    </row>
    <row r="37" spans="1:8" ht="18.75">
      <c r="A37" s="383" t="s">
        <v>317</v>
      </c>
      <c r="B37" s="696">
        <v>11744.7</v>
      </c>
      <c r="C37" s="696">
        <v>5.3</v>
      </c>
      <c r="D37" s="1190"/>
      <c r="E37" s="1191"/>
      <c r="F37" s="8"/>
      <c r="G37" s="8"/>
      <c r="H37" s="8"/>
    </row>
    <row r="38" spans="1:8" ht="15.75" thickBot="1">
      <c r="A38" s="1192" t="s">
        <v>187</v>
      </c>
      <c r="B38" s="1058"/>
      <c r="C38" s="1058"/>
      <c r="D38" s="1059">
        <f>'2022(пеня)'!C63+'2022(пеня)'!C92+'2022(пеня)'!AA33</f>
        <v>1791768.56</v>
      </c>
      <c r="E38" s="1060">
        <f>SUM(E11:E35)</f>
        <v>2513252.9999999995</v>
      </c>
      <c r="F38" s="1061"/>
      <c r="G38" s="1062">
        <f>SUM(G11:G34)</f>
        <v>2464183.9399999995</v>
      </c>
      <c r="H38" s="1063"/>
    </row>
  </sheetData>
  <sheetProtection/>
  <mergeCells count="10">
    <mergeCell ref="H3:H10"/>
    <mergeCell ref="F3:F10"/>
    <mergeCell ref="G3:G10"/>
    <mergeCell ref="A1:E1"/>
    <mergeCell ref="A2:E2"/>
    <mergeCell ref="A3:A10"/>
    <mergeCell ref="B3:B10"/>
    <mergeCell ref="C3:C10"/>
    <mergeCell ref="E3:E10"/>
    <mergeCell ref="D3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9">
      <selection activeCell="J49" sqref="J49"/>
    </sheetView>
  </sheetViews>
  <sheetFormatPr defaultColWidth="9.140625" defaultRowHeight="15"/>
  <cols>
    <col min="1" max="1" width="13.28125" style="0" customWidth="1"/>
  </cols>
  <sheetData>
    <row r="1" spans="1:7" ht="15">
      <c r="A1" s="1135" t="s">
        <v>324</v>
      </c>
      <c r="B1" s="1135"/>
      <c r="C1" s="1135"/>
      <c r="D1" s="1136"/>
      <c r="E1" s="1136"/>
      <c r="F1" s="1136"/>
      <c r="G1" s="1136"/>
    </row>
    <row r="2" spans="1:7" ht="15">
      <c r="A2" s="1137" t="s">
        <v>325</v>
      </c>
      <c r="B2" s="1137" t="s">
        <v>326</v>
      </c>
      <c r="C2" s="1137"/>
      <c r="D2" s="1137"/>
      <c r="E2" s="1137"/>
      <c r="F2" s="1136"/>
      <c r="G2" s="1136"/>
    </row>
    <row r="3" spans="1:7" ht="15">
      <c r="A3" s="1137" t="s">
        <v>327</v>
      </c>
      <c r="B3" s="1137" t="s">
        <v>328</v>
      </c>
      <c r="C3" s="1137"/>
      <c r="D3" s="1137"/>
      <c r="E3" s="1137"/>
      <c r="F3" s="1136"/>
      <c r="G3" s="1136"/>
    </row>
    <row r="4" spans="1:8" ht="15">
      <c r="A4" s="1719"/>
      <c r="B4" s="1720"/>
      <c r="C4" s="1720"/>
      <c r="D4" s="1720"/>
      <c r="E4" s="1720"/>
      <c r="F4" s="1720"/>
      <c r="G4" s="1720"/>
      <c r="H4" s="1720"/>
    </row>
    <row r="5" spans="1:7" ht="15">
      <c r="A5" s="1716" t="s">
        <v>329</v>
      </c>
      <c r="B5" s="1717"/>
      <c r="C5" s="1717"/>
      <c r="D5" s="1717"/>
      <c r="E5" s="1717"/>
      <c r="F5" s="1717"/>
      <c r="G5" s="1718"/>
    </row>
    <row r="6" spans="1:7" ht="15">
      <c r="A6" s="1137" t="s">
        <v>330</v>
      </c>
      <c r="B6" s="1136">
        <v>-1035.49</v>
      </c>
      <c r="C6" s="1136"/>
      <c r="D6" s="1136"/>
      <c r="E6" s="1136"/>
      <c r="F6" s="1136"/>
      <c r="G6" s="1136"/>
    </row>
    <row r="7" spans="1:7" ht="15">
      <c r="A7" s="1137" t="s">
        <v>331</v>
      </c>
      <c r="B7" s="1136">
        <v>-45.83</v>
      </c>
      <c r="C7" s="1136"/>
      <c r="D7" s="1136"/>
      <c r="E7" s="1136"/>
      <c r="F7" s="1136"/>
      <c r="G7" s="1136"/>
    </row>
    <row r="8" spans="1:7" ht="15">
      <c r="A8" s="1137" t="s">
        <v>332</v>
      </c>
      <c r="B8" s="1136">
        <v>-581.83</v>
      </c>
      <c r="C8" s="1136"/>
      <c r="D8" s="1136"/>
      <c r="E8" s="1136"/>
      <c r="F8" s="1136"/>
      <c r="G8" s="1136"/>
    </row>
    <row r="9" spans="1:8" ht="15">
      <c r="A9" s="1719"/>
      <c r="B9" s="1720"/>
      <c r="C9" s="1720"/>
      <c r="D9" s="1720"/>
      <c r="E9" s="1720"/>
      <c r="F9" s="1720"/>
      <c r="G9" s="1720"/>
      <c r="H9" s="1720"/>
    </row>
    <row r="10" spans="1:8" ht="15">
      <c r="A10" s="1721"/>
      <c r="B10" s="1720"/>
      <c r="C10" s="1720"/>
      <c r="D10" s="1720"/>
      <c r="E10" s="1720"/>
      <c r="F10" s="1720"/>
      <c r="G10" s="1720"/>
      <c r="H10" s="1720"/>
    </row>
    <row r="11" spans="1:16" ht="15">
      <c r="A11" s="1716" t="s">
        <v>333</v>
      </c>
      <c r="B11" s="1717"/>
      <c r="C11" s="1717"/>
      <c r="D11" s="1717"/>
      <c r="E11" s="1717"/>
      <c r="F11" s="1717"/>
      <c r="G11" s="1718"/>
      <c r="I11" s="1149" t="s">
        <v>324</v>
      </c>
      <c r="J11" s="1149"/>
      <c r="K11" s="1149"/>
      <c r="L11" s="567"/>
      <c r="M11" s="567"/>
      <c r="N11" s="567"/>
      <c r="O11" s="567"/>
      <c r="P11" s="567"/>
    </row>
    <row r="12" spans="1:16" ht="15">
      <c r="A12" s="1722"/>
      <c r="B12" s="1717"/>
      <c r="C12" s="1717"/>
      <c r="D12" s="1717"/>
      <c r="E12" s="1717"/>
      <c r="F12" s="1717"/>
      <c r="G12" s="1718"/>
      <c r="I12" s="1150" t="s">
        <v>325</v>
      </c>
      <c r="J12" s="1150" t="s">
        <v>326</v>
      </c>
      <c r="K12" s="1150"/>
      <c r="L12" s="1150"/>
      <c r="M12" s="1150"/>
      <c r="N12" s="567"/>
      <c r="O12" s="567"/>
      <c r="P12" s="567"/>
    </row>
    <row r="13" spans="1:16" ht="15">
      <c r="A13" s="1137" t="s">
        <v>334</v>
      </c>
      <c r="B13" s="1138">
        <v>-7.19</v>
      </c>
      <c r="C13" s="1136" t="s">
        <v>335</v>
      </c>
      <c r="D13" s="1136"/>
      <c r="E13" s="1136"/>
      <c r="F13" s="1136"/>
      <c r="G13" s="1136"/>
      <c r="I13" s="1150" t="s">
        <v>327</v>
      </c>
      <c r="J13" s="1150" t="s">
        <v>328</v>
      </c>
      <c r="K13" s="1150"/>
      <c r="L13" s="1150"/>
      <c r="M13" s="1150"/>
      <c r="N13" s="567"/>
      <c r="O13" s="567"/>
      <c r="P13" s="567"/>
    </row>
    <row r="14" spans="1:16" ht="15">
      <c r="A14" s="1137" t="s">
        <v>336</v>
      </c>
      <c r="B14" s="1138">
        <v>-47.47</v>
      </c>
      <c r="C14" s="1136" t="s">
        <v>335</v>
      </c>
      <c r="D14" s="1136"/>
      <c r="E14" s="1136"/>
      <c r="F14" s="1136"/>
      <c r="G14" s="1136"/>
      <c r="I14" s="567"/>
      <c r="J14" s="567"/>
      <c r="K14" s="567"/>
      <c r="L14" s="567"/>
      <c r="M14" s="567"/>
      <c r="N14" s="567"/>
      <c r="O14" s="567"/>
      <c r="P14" s="567"/>
    </row>
    <row r="15" spans="1:16" ht="15">
      <c r="A15" s="1137" t="s">
        <v>337</v>
      </c>
      <c r="B15" s="1139">
        <v>-15.7</v>
      </c>
      <c r="C15" s="1136" t="s">
        <v>335</v>
      </c>
      <c r="D15" s="1136"/>
      <c r="E15" s="1136"/>
      <c r="F15" s="1136"/>
      <c r="G15" s="1136"/>
      <c r="I15" s="1149" t="s">
        <v>329</v>
      </c>
      <c r="J15" s="567"/>
      <c r="K15" s="567"/>
      <c r="L15" s="567"/>
      <c r="M15" s="567"/>
      <c r="N15" s="567"/>
      <c r="O15" s="567"/>
      <c r="P15" s="567"/>
    </row>
    <row r="16" spans="1:16" ht="15">
      <c r="A16" s="1137" t="s">
        <v>338</v>
      </c>
      <c r="B16" s="1138" t="s">
        <v>339</v>
      </c>
      <c r="C16" s="1136"/>
      <c r="D16" s="1136"/>
      <c r="E16" s="1136"/>
      <c r="F16" s="1136"/>
      <c r="G16" s="1136"/>
      <c r="I16" s="1150" t="s">
        <v>330</v>
      </c>
      <c r="J16" s="567">
        <v>-1035.49</v>
      </c>
      <c r="K16" s="567"/>
      <c r="L16" s="567"/>
      <c r="M16" s="567"/>
      <c r="N16" s="567"/>
      <c r="O16" s="567"/>
      <c r="P16" s="567"/>
    </row>
    <row r="17" spans="1:16" ht="15">
      <c r="A17" s="1137" t="s">
        <v>340</v>
      </c>
      <c r="B17" s="1138">
        <v>-6.82</v>
      </c>
      <c r="C17" s="1136" t="s">
        <v>335</v>
      </c>
      <c r="D17" s="1136"/>
      <c r="E17" s="1136"/>
      <c r="F17" s="1136"/>
      <c r="G17" s="1136"/>
      <c r="I17" s="1150" t="s">
        <v>331</v>
      </c>
      <c r="J17" s="567">
        <v>-45.83</v>
      </c>
      <c r="K17" s="567"/>
      <c r="L17" s="567"/>
      <c r="M17" s="567"/>
      <c r="N17" s="567"/>
      <c r="O17" s="567"/>
      <c r="P17" s="567"/>
    </row>
    <row r="18" spans="1:16" ht="15">
      <c r="A18" s="1137" t="s">
        <v>341</v>
      </c>
      <c r="B18" s="1138">
        <v>-407.86</v>
      </c>
      <c r="C18" s="1136" t="s">
        <v>335</v>
      </c>
      <c r="D18" s="1136"/>
      <c r="E18" s="1136"/>
      <c r="F18" s="1136"/>
      <c r="G18" s="1136"/>
      <c r="I18" s="1150" t="s">
        <v>332</v>
      </c>
      <c r="J18" s="567">
        <v>-581.83</v>
      </c>
      <c r="K18" s="567"/>
      <c r="L18" s="567"/>
      <c r="M18" s="567"/>
      <c r="N18" s="567"/>
      <c r="O18" s="567"/>
      <c r="P18" s="567"/>
    </row>
    <row r="19" spans="1:16" ht="15">
      <c r="A19" s="1137" t="s">
        <v>342</v>
      </c>
      <c r="B19" s="1138">
        <v>-173.15</v>
      </c>
      <c r="C19" s="1136" t="s">
        <v>335</v>
      </c>
      <c r="D19" s="1136"/>
      <c r="E19" s="1136"/>
      <c r="F19" s="1136"/>
      <c r="G19" s="1136"/>
      <c r="I19" s="567"/>
      <c r="J19" s="567"/>
      <c r="K19" s="567"/>
      <c r="L19" s="567"/>
      <c r="M19" s="567"/>
      <c r="N19" s="567"/>
      <c r="O19" s="567"/>
      <c r="P19" s="567"/>
    </row>
    <row r="20" spans="1:16" ht="15">
      <c r="A20" s="1137" t="s">
        <v>343</v>
      </c>
      <c r="B20" s="1138">
        <v>-111.87</v>
      </c>
      <c r="C20" s="1136" t="s">
        <v>335</v>
      </c>
      <c r="D20" s="1136"/>
      <c r="E20" s="1136"/>
      <c r="F20" s="1136"/>
      <c r="G20" s="1136"/>
      <c r="I20" s="567"/>
      <c r="J20" s="567"/>
      <c r="K20" s="567"/>
      <c r="L20" s="567"/>
      <c r="M20" s="567"/>
      <c r="N20" s="567"/>
      <c r="O20" s="567"/>
      <c r="P20" s="567"/>
    </row>
    <row r="21" spans="1:16" ht="15">
      <c r="A21" s="1137" t="s">
        <v>344</v>
      </c>
      <c r="B21" s="1138" t="s">
        <v>345</v>
      </c>
      <c r="C21" s="1136"/>
      <c r="D21" s="1136"/>
      <c r="E21" s="1136"/>
      <c r="F21" s="1136"/>
      <c r="G21" s="1136"/>
      <c r="I21" s="1149" t="s">
        <v>333</v>
      </c>
      <c r="J21" s="1149"/>
      <c r="K21" s="1149"/>
      <c r="L21" s="567"/>
      <c r="M21" s="567"/>
      <c r="N21" s="567"/>
      <c r="O21" s="567"/>
      <c r="P21" s="567"/>
    </row>
    <row r="22" spans="1:16" ht="15">
      <c r="A22" s="1140" t="s">
        <v>346</v>
      </c>
      <c r="B22" s="1138">
        <v>-72.67</v>
      </c>
      <c r="C22" s="1136"/>
      <c r="D22" s="1136"/>
      <c r="E22" s="1136"/>
      <c r="F22" s="1136"/>
      <c r="G22" s="1136"/>
      <c r="I22" s="567"/>
      <c r="J22" s="567"/>
      <c r="K22" s="567"/>
      <c r="L22" s="567"/>
      <c r="M22" s="567"/>
      <c r="N22" s="567"/>
      <c r="O22" s="567"/>
      <c r="P22" s="567"/>
    </row>
    <row r="23" spans="1:16" ht="15">
      <c r="A23" s="1137" t="s">
        <v>347</v>
      </c>
      <c r="B23" s="1138" t="s">
        <v>348</v>
      </c>
      <c r="C23" s="1136"/>
      <c r="D23" s="1136"/>
      <c r="E23" s="1136"/>
      <c r="F23" s="1136"/>
      <c r="G23" s="1136"/>
      <c r="I23" s="1150" t="s">
        <v>334</v>
      </c>
      <c r="J23" s="1151">
        <v>-7.19</v>
      </c>
      <c r="K23" s="567" t="s">
        <v>335</v>
      </c>
      <c r="L23" s="567"/>
      <c r="M23" s="567"/>
      <c r="N23" s="567"/>
      <c r="O23" s="567"/>
      <c r="P23" s="567"/>
    </row>
    <row r="24" spans="1:16" ht="15">
      <c r="A24" s="1137" t="s">
        <v>327</v>
      </c>
      <c r="B24" s="1141" t="s">
        <v>349</v>
      </c>
      <c r="C24" s="1136"/>
      <c r="D24" s="1136"/>
      <c r="E24" s="1136"/>
      <c r="F24" s="1136"/>
      <c r="G24" s="1136"/>
      <c r="I24" s="1150" t="s">
        <v>336</v>
      </c>
      <c r="J24" s="1151">
        <v>-47.47</v>
      </c>
      <c r="K24" s="567" t="s">
        <v>335</v>
      </c>
      <c r="L24" s="567"/>
      <c r="M24" s="567"/>
      <c r="N24" s="567"/>
      <c r="O24" s="567"/>
      <c r="P24" s="567"/>
    </row>
    <row r="25" spans="1:16" ht="15">
      <c r="A25" s="1137" t="s">
        <v>325</v>
      </c>
      <c r="B25" s="1141" t="s">
        <v>350</v>
      </c>
      <c r="C25" s="1136"/>
      <c r="D25" s="1136"/>
      <c r="E25" s="1136"/>
      <c r="F25" s="1136"/>
      <c r="G25" s="1136"/>
      <c r="I25" s="1150" t="s">
        <v>337</v>
      </c>
      <c r="J25" s="1152">
        <v>-15.7</v>
      </c>
      <c r="K25" s="567" t="s">
        <v>335</v>
      </c>
      <c r="L25" s="567"/>
      <c r="M25" s="567"/>
      <c r="N25" s="567"/>
      <c r="O25" s="567"/>
      <c r="P25" s="567"/>
    </row>
    <row r="26" spans="1:16" ht="15">
      <c r="A26" s="1137" t="s">
        <v>351</v>
      </c>
      <c r="B26" s="1141" t="s">
        <v>352</v>
      </c>
      <c r="C26" s="1136" t="s">
        <v>335</v>
      </c>
      <c r="D26" s="1136"/>
      <c r="E26" s="1136"/>
      <c r="F26" s="1136"/>
      <c r="G26" s="1136"/>
      <c r="I26" s="1150" t="s">
        <v>338</v>
      </c>
      <c r="J26" s="1151" t="s">
        <v>364</v>
      </c>
      <c r="K26" s="567"/>
      <c r="L26" s="567"/>
      <c r="M26" s="567"/>
      <c r="N26" s="567"/>
      <c r="O26" s="567"/>
      <c r="P26" s="567"/>
    </row>
    <row r="27" spans="1:16" ht="15">
      <c r="A27" s="1137" t="s">
        <v>353</v>
      </c>
      <c r="B27" s="1141" t="s">
        <v>354</v>
      </c>
      <c r="C27" s="1136" t="s">
        <v>335</v>
      </c>
      <c r="D27" s="1136"/>
      <c r="E27" s="1136"/>
      <c r="F27" s="1136"/>
      <c r="G27" s="1136"/>
      <c r="I27" s="1150" t="s">
        <v>340</v>
      </c>
      <c r="J27" s="1151">
        <v>-6.82</v>
      </c>
      <c r="K27" s="567" t="s">
        <v>335</v>
      </c>
      <c r="L27" s="567"/>
      <c r="M27" s="567"/>
      <c r="N27" s="567"/>
      <c r="O27" s="567"/>
      <c r="P27" s="567"/>
    </row>
    <row r="28" spans="1:16" ht="15">
      <c r="A28" s="1137" t="s">
        <v>355</v>
      </c>
      <c r="B28" s="1141" t="s">
        <v>356</v>
      </c>
      <c r="C28" s="1136" t="s">
        <v>335</v>
      </c>
      <c r="D28" s="1136"/>
      <c r="E28" s="1136"/>
      <c r="F28" s="1136"/>
      <c r="G28" s="1136"/>
      <c r="I28" s="1150" t="s">
        <v>341</v>
      </c>
      <c r="J28" s="1151">
        <v>-407.86</v>
      </c>
      <c r="K28" s="567" t="s">
        <v>335</v>
      </c>
      <c r="L28" s="567"/>
      <c r="M28" s="567"/>
      <c r="N28" s="567"/>
      <c r="O28" s="567"/>
      <c r="P28" s="567"/>
    </row>
    <row r="29" spans="1:16" ht="15">
      <c r="A29" s="1137" t="s">
        <v>357</v>
      </c>
      <c r="B29" s="1141" t="s">
        <v>358</v>
      </c>
      <c r="C29" s="1136" t="s">
        <v>335</v>
      </c>
      <c r="D29" s="1136"/>
      <c r="E29" s="1136"/>
      <c r="F29" s="1136"/>
      <c r="G29" s="1136"/>
      <c r="I29" s="1150" t="s">
        <v>342</v>
      </c>
      <c r="J29" s="1151">
        <v>-173.15</v>
      </c>
      <c r="K29" s="567" t="s">
        <v>335</v>
      </c>
      <c r="L29" s="567"/>
      <c r="M29" s="567"/>
      <c r="N29" s="567"/>
      <c r="O29" s="567"/>
      <c r="P29" s="567"/>
    </row>
    <row r="30" spans="1:16" ht="15">
      <c r="A30" s="1137" t="s">
        <v>359</v>
      </c>
      <c r="B30" s="1141" t="s">
        <v>360</v>
      </c>
      <c r="C30" s="1136" t="s">
        <v>335</v>
      </c>
      <c r="D30" s="1136"/>
      <c r="E30" s="1136"/>
      <c r="F30" s="1136"/>
      <c r="G30" s="1136"/>
      <c r="I30" s="1150" t="s">
        <v>343</v>
      </c>
      <c r="J30" s="1151">
        <v>-111.87</v>
      </c>
      <c r="K30" s="567" t="s">
        <v>335</v>
      </c>
      <c r="L30" s="567"/>
      <c r="M30" s="567"/>
      <c r="N30" s="567"/>
      <c r="O30" s="567"/>
      <c r="P30" s="567"/>
    </row>
    <row r="31" spans="9:16" ht="15">
      <c r="I31" s="1150" t="s">
        <v>344</v>
      </c>
      <c r="J31" s="1151" t="s">
        <v>365</v>
      </c>
      <c r="K31" s="567"/>
      <c r="L31" s="567"/>
      <c r="M31" s="567"/>
      <c r="N31" s="567"/>
      <c r="O31" s="567"/>
      <c r="P31" s="567"/>
    </row>
    <row r="32" spans="9:16" ht="15">
      <c r="I32" s="1153" t="s">
        <v>346</v>
      </c>
      <c r="J32" s="1151">
        <v>-72.67</v>
      </c>
      <c r="K32" s="567"/>
      <c r="L32" s="567"/>
      <c r="M32" s="567"/>
      <c r="N32" s="567"/>
      <c r="O32" s="567"/>
      <c r="P32" s="567"/>
    </row>
    <row r="33" spans="9:16" ht="15">
      <c r="I33" s="1150" t="s">
        <v>347</v>
      </c>
      <c r="J33" s="1151" t="s">
        <v>366</v>
      </c>
      <c r="K33" s="567"/>
      <c r="L33" s="567"/>
      <c r="M33" s="567"/>
      <c r="N33" s="567"/>
      <c r="O33" s="567"/>
      <c r="P33" s="567"/>
    </row>
    <row r="34" spans="9:16" ht="15">
      <c r="I34" s="1150" t="s">
        <v>327</v>
      </c>
      <c r="J34" s="1154" t="s">
        <v>349</v>
      </c>
      <c r="K34" s="567"/>
      <c r="L34" s="567"/>
      <c r="M34" s="567"/>
      <c r="N34" s="567"/>
      <c r="O34" s="567"/>
      <c r="P34" s="567"/>
    </row>
    <row r="35" spans="9:16" ht="15">
      <c r="I35" s="1150" t="s">
        <v>325</v>
      </c>
      <c r="J35" s="1154" t="s">
        <v>350</v>
      </c>
      <c r="K35" s="567"/>
      <c r="L35" s="567"/>
      <c r="M35" s="567"/>
      <c r="N35" s="567"/>
      <c r="O35" s="567"/>
      <c r="P35" s="567"/>
    </row>
    <row r="36" spans="9:16" ht="15">
      <c r="I36" s="1150" t="s">
        <v>351</v>
      </c>
      <c r="J36" s="1154" t="s">
        <v>352</v>
      </c>
      <c r="K36" s="567" t="s">
        <v>335</v>
      </c>
      <c r="L36" s="567"/>
      <c r="M36" s="567"/>
      <c r="N36" s="567"/>
      <c r="O36" s="567"/>
      <c r="P36" s="567"/>
    </row>
    <row r="37" spans="9:16" ht="15">
      <c r="I37" s="1150" t="s">
        <v>353</v>
      </c>
      <c r="J37" s="1154" t="s">
        <v>354</v>
      </c>
      <c r="K37" s="567" t="s">
        <v>335</v>
      </c>
      <c r="L37" s="567"/>
      <c r="M37" s="567"/>
      <c r="N37" s="567"/>
      <c r="O37" s="567"/>
      <c r="P37" s="567"/>
    </row>
    <row r="38" spans="9:16" ht="15">
      <c r="I38" s="1150" t="s">
        <v>355</v>
      </c>
      <c r="J38" s="1154" t="s">
        <v>356</v>
      </c>
      <c r="K38" s="567" t="s">
        <v>335</v>
      </c>
      <c r="L38" s="567"/>
      <c r="M38" s="567"/>
      <c r="N38" s="567"/>
      <c r="O38" s="567"/>
      <c r="P38" s="567"/>
    </row>
    <row r="39" spans="9:16" ht="15">
      <c r="I39" s="1150" t="s">
        <v>357</v>
      </c>
      <c r="J39" s="1154" t="s">
        <v>358</v>
      </c>
      <c r="K39" s="567" t="s">
        <v>335</v>
      </c>
      <c r="L39" s="567"/>
      <c r="M39" s="567"/>
      <c r="N39" s="567"/>
      <c r="O39" s="567"/>
      <c r="P39" s="567"/>
    </row>
    <row r="40" spans="9:16" ht="15">
      <c r="I40" s="1150" t="s">
        <v>359</v>
      </c>
      <c r="J40" s="1154" t="s">
        <v>360</v>
      </c>
      <c r="K40" s="567" t="s">
        <v>335</v>
      </c>
      <c r="L40" s="567"/>
      <c r="M40" s="567"/>
      <c r="N40" s="567"/>
      <c r="O40" s="567"/>
      <c r="P40" s="567"/>
    </row>
    <row r="41" spans="9:16" ht="15">
      <c r="I41" s="1150"/>
      <c r="J41" s="567"/>
      <c r="K41" s="567"/>
      <c r="L41" s="567"/>
      <c r="M41" s="567"/>
      <c r="N41" s="567"/>
      <c r="O41" s="567"/>
      <c r="P41" s="567"/>
    </row>
    <row r="42" spans="9:16" ht="15">
      <c r="I42" s="1150"/>
      <c r="J42" s="567"/>
      <c r="K42" s="567"/>
      <c r="L42" s="567"/>
      <c r="M42" s="567"/>
      <c r="N42" s="567"/>
      <c r="O42" s="567"/>
      <c r="P42" s="567"/>
    </row>
    <row r="43" spans="1:16" ht="15">
      <c r="A43" s="1157" t="s">
        <v>391</v>
      </c>
      <c r="B43" s="1158"/>
      <c r="C43" s="1158"/>
      <c r="D43" s="1158"/>
      <c r="E43" s="1158"/>
      <c r="F43" s="1158"/>
      <c r="I43" s="1149" t="s">
        <v>367</v>
      </c>
      <c r="J43" s="1149"/>
      <c r="K43" s="1149"/>
      <c r="L43" s="567"/>
      <c r="M43" s="567"/>
      <c r="N43" s="567"/>
      <c r="O43" s="567"/>
      <c r="P43" s="567"/>
    </row>
    <row r="44" spans="1:16" ht="15">
      <c r="A44" s="1159" t="s">
        <v>336</v>
      </c>
      <c r="B44" s="1160" t="s">
        <v>392</v>
      </c>
      <c r="C44" s="1158"/>
      <c r="D44" s="1158"/>
      <c r="E44" s="1158"/>
      <c r="F44" s="1158"/>
      <c r="I44" s="567"/>
      <c r="J44" s="567"/>
      <c r="K44" s="567"/>
      <c r="L44" s="567"/>
      <c r="M44" s="567"/>
      <c r="N44" s="567"/>
      <c r="O44" s="567"/>
      <c r="P44" s="567"/>
    </row>
    <row r="45" spans="1:16" ht="15">
      <c r="A45" s="1159" t="s">
        <v>341</v>
      </c>
      <c r="B45" s="1160" t="s">
        <v>393</v>
      </c>
      <c r="C45" s="1158"/>
      <c r="D45" s="1158"/>
      <c r="E45" s="1158"/>
      <c r="F45" s="1158"/>
      <c r="I45" s="1150" t="s">
        <v>334</v>
      </c>
      <c r="J45" s="1154" t="s">
        <v>368</v>
      </c>
      <c r="K45" s="567"/>
      <c r="L45" s="567"/>
      <c r="M45" s="567"/>
      <c r="N45" s="567"/>
      <c r="O45" s="567"/>
      <c r="P45" s="567"/>
    </row>
    <row r="46" spans="1:16" ht="15">
      <c r="A46" s="1159" t="s">
        <v>327</v>
      </c>
      <c r="B46" s="1160" t="s">
        <v>394</v>
      </c>
      <c r="C46" s="1158"/>
      <c r="D46" s="1158"/>
      <c r="E46" s="1158"/>
      <c r="F46" s="1158"/>
      <c r="I46" s="1150" t="s">
        <v>336</v>
      </c>
      <c r="J46" s="1154" t="s">
        <v>369</v>
      </c>
      <c r="K46" s="567"/>
      <c r="L46" s="567"/>
      <c r="M46" s="567"/>
      <c r="N46" s="567"/>
      <c r="O46" s="567"/>
      <c r="P46" s="567"/>
    </row>
    <row r="47" spans="9:16" ht="15">
      <c r="I47" s="1150" t="s">
        <v>337</v>
      </c>
      <c r="J47" s="1154" t="s">
        <v>370</v>
      </c>
      <c r="K47" s="567"/>
      <c r="L47" s="567"/>
      <c r="M47" s="567"/>
      <c r="N47" s="567"/>
      <c r="O47" s="567"/>
      <c r="P47" s="567"/>
    </row>
    <row r="48" spans="9:16" ht="15">
      <c r="I48" s="1150" t="s">
        <v>340</v>
      </c>
      <c r="J48" s="1154" t="s">
        <v>371</v>
      </c>
      <c r="K48" s="567"/>
      <c r="L48" s="567"/>
      <c r="M48" s="567"/>
      <c r="N48" s="567"/>
      <c r="O48" s="567"/>
      <c r="P48" s="567"/>
    </row>
    <row r="49" spans="9:16" ht="15">
      <c r="I49" s="1150" t="s">
        <v>341</v>
      </c>
      <c r="J49" s="1154" t="s">
        <v>372</v>
      </c>
      <c r="K49" s="567"/>
      <c r="L49" s="567"/>
      <c r="M49" s="567"/>
      <c r="N49" s="567"/>
      <c r="O49" s="567"/>
      <c r="P49" s="567"/>
    </row>
    <row r="50" spans="9:16" ht="15">
      <c r="I50" s="1150" t="s">
        <v>342</v>
      </c>
      <c r="J50" s="1154" t="s">
        <v>373</v>
      </c>
      <c r="K50" s="567"/>
      <c r="L50" s="567"/>
      <c r="M50" s="567"/>
      <c r="N50" s="567"/>
      <c r="O50" s="567"/>
      <c r="P50" s="567"/>
    </row>
    <row r="51" spans="9:16" ht="15">
      <c r="I51" s="1150" t="s">
        <v>343</v>
      </c>
      <c r="J51" s="1154" t="s">
        <v>374</v>
      </c>
      <c r="K51" s="567"/>
      <c r="L51" s="567"/>
      <c r="M51" s="567"/>
      <c r="N51" s="567"/>
      <c r="O51" s="567"/>
      <c r="P51" s="567"/>
    </row>
    <row r="52" spans="9:16" ht="15">
      <c r="I52" s="1150" t="s">
        <v>344</v>
      </c>
      <c r="J52" s="1154" t="s">
        <v>375</v>
      </c>
      <c r="K52" s="567"/>
      <c r="L52" s="567"/>
      <c r="M52" s="567"/>
      <c r="N52" s="567"/>
      <c r="O52" s="567"/>
      <c r="P52" s="567"/>
    </row>
    <row r="53" spans="9:16" ht="15">
      <c r="I53" s="1150" t="s">
        <v>327</v>
      </c>
      <c r="J53" s="1154" t="s">
        <v>376</v>
      </c>
      <c r="K53" s="567"/>
      <c r="L53" s="567"/>
      <c r="M53" s="567"/>
      <c r="N53" s="567"/>
      <c r="O53" s="567"/>
      <c r="P53" s="567"/>
    </row>
    <row r="54" spans="9:16" ht="15">
      <c r="I54" s="1150" t="s">
        <v>351</v>
      </c>
      <c r="J54" s="1154" t="s">
        <v>377</v>
      </c>
      <c r="K54" s="567"/>
      <c r="L54" s="567"/>
      <c r="M54" s="567"/>
      <c r="N54" s="567"/>
      <c r="O54" s="567"/>
      <c r="P54" s="567"/>
    </row>
    <row r="55" spans="9:16" ht="15">
      <c r="I55" s="1150" t="s">
        <v>353</v>
      </c>
      <c r="J55" s="1154" t="s">
        <v>378</v>
      </c>
      <c r="K55" s="567"/>
      <c r="L55" s="567"/>
      <c r="M55" s="567"/>
      <c r="N55" s="567"/>
      <c r="O55" s="567"/>
      <c r="P55" s="567"/>
    </row>
    <row r="56" spans="9:16" ht="15">
      <c r="I56" s="1150" t="s">
        <v>355</v>
      </c>
      <c r="J56" s="1154" t="s">
        <v>379</v>
      </c>
      <c r="K56" s="567"/>
      <c r="L56" s="567"/>
      <c r="M56" s="567"/>
      <c r="N56" s="567"/>
      <c r="O56" s="567"/>
      <c r="P56" s="567"/>
    </row>
    <row r="57" spans="9:16" ht="15">
      <c r="I57" s="1150" t="s">
        <v>357</v>
      </c>
      <c r="J57" s="1154" t="s">
        <v>380</v>
      </c>
      <c r="K57" s="567"/>
      <c r="L57" s="567"/>
      <c r="M57" s="567"/>
      <c r="N57" s="567"/>
      <c r="O57" s="567"/>
      <c r="P57" s="567"/>
    </row>
    <row r="58" spans="9:16" ht="15">
      <c r="I58" s="1150" t="s">
        <v>359</v>
      </c>
      <c r="J58" s="1154" t="s">
        <v>381</v>
      </c>
      <c r="K58" s="567"/>
      <c r="L58" s="567"/>
      <c r="M58" s="567"/>
      <c r="N58" s="567"/>
      <c r="O58" s="567"/>
      <c r="P58" s="567"/>
    </row>
  </sheetData>
  <sheetProtection/>
  <mergeCells count="5">
    <mergeCell ref="A11:G11"/>
    <mergeCell ref="A5:G5"/>
    <mergeCell ref="A4:H4"/>
    <mergeCell ref="A9:H10"/>
    <mergeCell ref="A12:G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415"/>
  <sheetViews>
    <sheetView zoomScale="68" zoomScaleNormal="68" zoomScalePageLayoutView="0" workbookViewId="0" topLeftCell="A1">
      <pane xSplit="1" topLeftCell="B1" activePane="topRight" state="frozen"/>
      <selection pane="topLeft" activeCell="A1" sqref="A1"/>
      <selection pane="topRight" activeCell="N388" sqref="N388"/>
    </sheetView>
  </sheetViews>
  <sheetFormatPr defaultColWidth="9.140625" defaultRowHeight="15"/>
  <cols>
    <col min="1" max="1" width="24.7109375" style="0" customWidth="1"/>
    <col min="2" max="2" width="20.8515625" style="0" customWidth="1"/>
    <col min="3" max="3" width="21.140625" style="0" customWidth="1"/>
    <col min="4" max="4" width="20.7109375" style="0" customWidth="1"/>
    <col min="5" max="5" width="18.28125" style="0" customWidth="1"/>
    <col min="6" max="6" width="19.7109375" style="0" customWidth="1"/>
    <col min="7" max="7" width="17.8515625" style="0" customWidth="1"/>
    <col min="8" max="8" width="19.57421875" style="0" customWidth="1"/>
    <col min="9" max="9" width="15.57421875" style="0" customWidth="1"/>
    <col min="10" max="10" width="16.00390625" style="0" customWidth="1"/>
    <col min="11" max="11" width="15.7109375" style="0" customWidth="1"/>
    <col min="12" max="12" width="15.8515625" style="0" customWidth="1"/>
    <col min="13" max="13" width="14.421875" style="0" customWidth="1"/>
    <col min="14" max="14" width="16.8515625" style="0" customWidth="1"/>
    <col min="15" max="15" width="15.57421875" style="0" customWidth="1"/>
    <col min="16" max="16" width="20.57421875" style="0" customWidth="1"/>
    <col min="17" max="17" width="18.421875" style="0" customWidth="1"/>
    <col min="18" max="18" width="15.8515625" style="0" customWidth="1"/>
    <col min="19" max="19" width="16.140625" style="0" customWidth="1"/>
    <col min="20" max="20" width="17.8515625" style="0" customWidth="1"/>
    <col min="21" max="21" width="18.8515625" style="0" customWidth="1"/>
    <col min="22" max="22" width="18.00390625" style="0" customWidth="1"/>
    <col min="23" max="23" width="19.28125" style="0" customWidth="1"/>
    <col min="24" max="24" width="27.28125" style="0" customWidth="1"/>
    <col min="25" max="25" width="19.28125" style="0" customWidth="1"/>
    <col min="26" max="26" width="26.140625" style="0" customWidth="1"/>
    <col min="27" max="27" width="25.140625" style="0" customWidth="1"/>
    <col min="28" max="28" width="23.421875" style="0" customWidth="1"/>
    <col min="29" max="29" width="25.7109375" style="0" customWidth="1"/>
    <col min="30" max="31" width="19.140625" style="0" customWidth="1"/>
    <col min="33" max="33" width="16.140625" style="0" customWidth="1"/>
    <col min="34" max="34" width="15.421875" style="0" customWidth="1"/>
  </cols>
  <sheetData>
    <row r="1" spans="1:29" ht="18.75">
      <c r="A1" s="68"/>
      <c r="B1" s="360" t="s">
        <v>402</v>
      </c>
      <c r="C1" s="361"/>
      <c r="D1" s="361"/>
      <c r="E1" s="361"/>
      <c r="F1" s="240"/>
      <c r="G1" s="240"/>
      <c r="H1" s="361"/>
      <c r="I1" s="240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9" ht="18.75">
      <c r="A2" s="68"/>
      <c r="B2" s="360" t="s">
        <v>0</v>
      </c>
      <c r="C2" s="360" t="s">
        <v>24</v>
      </c>
      <c r="D2" s="360"/>
      <c r="E2" s="360"/>
      <c r="F2" s="362"/>
      <c r="G2" s="362"/>
      <c r="H2" s="362"/>
      <c r="I2" s="240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1:29" ht="19.5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</row>
    <row r="4" spans="1:29" ht="18.75" customHeight="1">
      <c r="A4" s="1649" t="s">
        <v>1</v>
      </c>
      <c r="B4" s="1651" t="s">
        <v>401</v>
      </c>
      <c r="C4" s="1653" t="s">
        <v>2</v>
      </c>
      <c r="D4" s="1654"/>
      <c r="E4" s="1654"/>
      <c r="F4" s="1655"/>
      <c r="G4" s="147" t="s">
        <v>27</v>
      </c>
      <c r="H4" s="1656" t="s">
        <v>3</v>
      </c>
      <c r="I4" s="1657"/>
      <c r="J4" s="1658"/>
      <c r="K4" s="148" t="s">
        <v>27</v>
      </c>
      <c r="L4" s="1633" t="s">
        <v>4</v>
      </c>
      <c r="M4" s="1633"/>
      <c r="N4" s="1633"/>
      <c r="O4" s="149" t="s">
        <v>27</v>
      </c>
      <c r="P4" s="1634" t="s">
        <v>493</v>
      </c>
      <c r="Q4" s="1634"/>
      <c r="R4" s="1634"/>
      <c r="S4" s="1634"/>
      <c r="T4" s="184"/>
      <c r="U4" s="1723" t="s">
        <v>406</v>
      </c>
      <c r="V4" s="1724"/>
      <c r="W4" s="1542"/>
      <c r="X4" s="68"/>
      <c r="Y4" s="68"/>
      <c r="Z4" s="68"/>
      <c r="AA4" s="68"/>
      <c r="AB4" s="68"/>
      <c r="AC4" s="68"/>
    </row>
    <row r="5" spans="1:31" ht="90.75" thickBot="1">
      <c r="A5" s="1650"/>
      <c r="B5" s="1652"/>
      <c r="C5" s="150" t="s">
        <v>5</v>
      </c>
      <c r="D5" s="151" t="s">
        <v>6</v>
      </c>
      <c r="E5" s="151" t="s">
        <v>65</v>
      </c>
      <c r="F5" s="1200" t="s">
        <v>403</v>
      </c>
      <c r="G5" s="124" t="s">
        <v>401</v>
      </c>
      <c r="H5" s="152" t="s">
        <v>5</v>
      </c>
      <c r="I5" s="152" t="s">
        <v>6</v>
      </c>
      <c r="J5" s="124" t="s">
        <v>404</v>
      </c>
      <c r="K5" s="371" t="s">
        <v>401</v>
      </c>
      <c r="L5" s="153" t="s">
        <v>5</v>
      </c>
      <c r="M5" s="153" t="s">
        <v>6</v>
      </c>
      <c r="N5" s="153" t="s">
        <v>494</v>
      </c>
      <c r="O5" s="154" t="s">
        <v>401</v>
      </c>
      <c r="P5" s="154" t="s">
        <v>5</v>
      </c>
      <c r="Q5" s="154" t="s">
        <v>64</v>
      </c>
      <c r="R5" s="154" t="s">
        <v>6</v>
      </c>
      <c r="S5" s="161" t="s">
        <v>405</v>
      </c>
      <c r="T5" s="185" t="s">
        <v>488</v>
      </c>
      <c r="U5" s="185" t="s">
        <v>77</v>
      </c>
      <c r="V5" s="185" t="s">
        <v>78</v>
      </c>
      <c r="W5" s="186" t="s">
        <v>495</v>
      </c>
      <c r="X5" s="68"/>
      <c r="Y5" s="68"/>
      <c r="Z5" s="68"/>
      <c r="AA5" s="671" t="s">
        <v>277</v>
      </c>
      <c r="AB5" s="672" t="s">
        <v>185</v>
      </c>
      <c r="AC5" s="671" t="s">
        <v>36</v>
      </c>
      <c r="AD5" s="41" t="s">
        <v>26</v>
      </c>
      <c r="AE5" s="41" t="s">
        <v>160</v>
      </c>
    </row>
    <row r="6" spans="1:31" ht="18.75">
      <c r="A6" s="117" t="s">
        <v>50</v>
      </c>
      <c r="B6" s="350">
        <v>107164.90999999995</v>
      </c>
      <c r="C6" s="354">
        <f>C38+C69+C100+C131+C162+C193+C225+C257+C289+C322+C353+C385</f>
        <v>182569.08000000002</v>
      </c>
      <c r="D6" s="358">
        <f>F38+D69+D100+D131+D162+D193+D225+D257+D289+D322+D353+D385</f>
        <v>178639.96999999997</v>
      </c>
      <c r="E6" s="145">
        <v>30268.21</v>
      </c>
      <c r="F6" s="157">
        <f>B6+C6-D6-E6</f>
        <v>80825.81000000003</v>
      </c>
      <c r="G6" s="350">
        <v>22511.74999999999</v>
      </c>
      <c r="H6" s="354">
        <f aca="true" t="shared" si="0" ref="H6:H29">I38+H69+H100+H131+H162+H193+H225+H257+H289+H322+H353+H385</f>
        <v>15707.539999999999</v>
      </c>
      <c r="I6" s="358">
        <f>J38+I69+I100+I131+I162+I193+I225+I257+I289+I322+I353+I385</f>
        <v>47939.14</v>
      </c>
      <c r="J6" s="157">
        <f>G6+H6-I6+10939.17</f>
        <v>1219.319999999987</v>
      </c>
      <c r="K6" s="351">
        <v>-5365.19</v>
      </c>
      <c r="L6" s="354">
        <f>M38+L69+L100+L131+L162+L193+L225+L257+L289+L322+L353+L385</f>
        <v>57838.55999999999</v>
      </c>
      <c r="M6" s="358">
        <f>N38+M69+M100+M131+M162+M193+M225+M257+M289+M322+M353+M385</f>
        <v>57838.56</v>
      </c>
      <c r="N6" s="146">
        <f>K6+L6-M6+5365.19</f>
        <v>-1.000444171950221E-11</v>
      </c>
      <c r="O6" s="352">
        <v>-1524.96</v>
      </c>
      <c r="P6" s="354">
        <f aca="true" t="shared" si="1" ref="P6:P32">Q38+P69+P100+P131+P162+P193+P225+P257+P289+P322+P353+P385</f>
        <v>978.2200000000001</v>
      </c>
      <c r="Q6" s="145">
        <v>-1987.28</v>
      </c>
      <c r="R6" s="358">
        <f>S38+R69+R100+R131+R162+R193+R225+R257+R289+R322+R353+R385</f>
        <v>984.8499999999999</v>
      </c>
      <c r="S6" s="162">
        <f>O6+P6-Q6-R6</f>
        <v>455.69000000000005</v>
      </c>
      <c r="T6" s="353">
        <f>X6</f>
        <v>110809.94</v>
      </c>
      <c r="U6" s="187">
        <f>C6+H6+L6+P6</f>
        <v>257093.40000000002</v>
      </c>
      <c r="V6" s="187">
        <f>D6+I6+M6+R6</f>
        <v>285402.51999999996</v>
      </c>
      <c r="W6" s="187">
        <f>F6+J6+N6+S6</f>
        <v>82500.82</v>
      </c>
      <c r="X6" s="68">
        <v>110809.94</v>
      </c>
      <c r="Y6" s="68"/>
      <c r="Z6" s="68"/>
      <c r="AA6" s="313"/>
      <c r="AB6" s="117" t="s">
        <v>50</v>
      </c>
      <c r="AC6" s="444">
        <v>19062.82</v>
      </c>
      <c r="AD6" s="382">
        <v>29631.359999999997</v>
      </c>
      <c r="AE6" s="382">
        <v>23497.14</v>
      </c>
    </row>
    <row r="7" spans="1:31" ht="18.75">
      <c r="A7" s="73" t="s">
        <v>53</v>
      </c>
      <c r="B7" s="350">
        <v>111361.21000000021</v>
      </c>
      <c r="C7" s="354">
        <f aca="true" t="shared" si="2" ref="C7:C26">C39+C70+C101+C132+C163+C194+C226+C258+C290+C323+C354+C386</f>
        <v>406527.4799999999</v>
      </c>
      <c r="D7" s="358">
        <f aca="true" t="shared" si="3" ref="D7:D32">F39+D70+D101+D132+D163+D194+D226+D258+D290+D323+D354+D386</f>
        <v>392212.53</v>
      </c>
      <c r="E7" s="82">
        <v>7323.44</v>
      </c>
      <c r="F7" s="157">
        <f>B7+C7-D7-E7</f>
        <v>118352.72000000009</v>
      </c>
      <c r="G7" s="350">
        <v>98.13999999999976</v>
      </c>
      <c r="H7" s="354">
        <f t="shared" si="0"/>
        <v>3492.9500000000007</v>
      </c>
      <c r="I7" s="358">
        <f aca="true" t="shared" si="4" ref="I7:I32">J39+I70+I101+I132+I163+I194+I226+I258+I290+I323+I354+I386</f>
        <v>6433.490000000001</v>
      </c>
      <c r="J7" s="158">
        <f>G7+H7-I7+3136.45</f>
        <v>294.0499999999997</v>
      </c>
      <c r="K7" s="351">
        <v>-3623.3999999999996</v>
      </c>
      <c r="L7" s="354">
        <f aca="true" t="shared" si="5" ref="L7:L32">M39+L70+L101+L132+L163+L194+L226+L258+L290+L323+L354+L386</f>
        <v>1632.7300000000002</v>
      </c>
      <c r="M7" s="358">
        <f aca="true" t="shared" si="6" ref="M7:M32">N39+M70+M101+M132+M163+M194+M226+M258+M290+M323+M354+M386</f>
        <v>1632.7300000000002</v>
      </c>
      <c r="N7" s="146">
        <f>K7+L7-M7+3760.85</f>
        <v>137.45000000000027</v>
      </c>
      <c r="O7" s="352">
        <v>184.64</v>
      </c>
      <c r="P7" s="354">
        <f t="shared" si="1"/>
        <v>526.1800000000001</v>
      </c>
      <c r="Q7" s="145">
        <v>-3025.78</v>
      </c>
      <c r="R7" s="358">
        <f aca="true" t="shared" si="7" ref="R7:R32">S39+R70+R101+R132+R163+R194+R226+R258+R290+R323+R354+R386</f>
        <v>558.5899999999999</v>
      </c>
      <c r="S7" s="162">
        <f aca="true" t="shared" si="8" ref="S7:S32">O7+P7-Q7-R7</f>
        <v>3178.01</v>
      </c>
      <c r="T7" s="353">
        <f aca="true" t="shared" si="9" ref="T7:T32">X7</f>
        <v>110620.23</v>
      </c>
      <c r="U7" s="187">
        <f aca="true" t="shared" si="10" ref="U7:U32">C7+H7+L7+P7</f>
        <v>412179.3399999999</v>
      </c>
      <c r="V7" s="187">
        <f aca="true" t="shared" si="11" ref="V7:V32">D7+I7+M7+R7</f>
        <v>400837.34</v>
      </c>
      <c r="W7" s="187">
        <f aca="true" t="shared" si="12" ref="W7:W32">F7+J7+N7+S7</f>
        <v>121962.23000000008</v>
      </c>
      <c r="X7" s="68">
        <v>110620.23</v>
      </c>
      <c r="Y7" s="68"/>
      <c r="Z7" s="68"/>
      <c r="AA7" s="313"/>
      <c r="AB7" s="73" t="s">
        <v>53</v>
      </c>
      <c r="AC7" s="444">
        <v>30356.75</v>
      </c>
      <c r="AD7" s="382">
        <v>39772.78</v>
      </c>
      <c r="AE7" s="382">
        <v>39152.04</v>
      </c>
    </row>
    <row r="8" spans="1:31" ht="18.75">
      <c r="A8" s="73" t="s">
        <v>8</v>
      </c>
      <c r="B8" s="350">
        <v>74445.62</v>
      </c>
      <c r="C8" s="354">
        <f t="shared" si="2"/>
        <v>0</v>
      </c>
      <c r="D8" s="358">
        <f t="shared" si="3"/>
        <v>0</v>
      </c>
      <c r="E8" s="82">
        <v>0</v>
      </c>
      <c r="F8" s="157">
        <v>0</v>
      </c>
      <c r="G8" s="350">
        <v>0</v>
      </c>
      <c r="H8" s="354">
        <f t="shared" si="0"/>
        <v>0</v>
      </c>
      <c r="I8" s="358">
        <f t="shared" si="4"/>
        <v>0</v>
      </c>
      <c r="J8" s="158">
        <f>G8+H8-I8</f>
        <v>0</v>
      </c>
      <c r="K8" s="351">
        <v>0</v>
      </c>
      <c r="L8" s="354">
        <f t="shared" si="5"/>
        <v>0</v>
      </c>
      <c r="M8" s="358">
        <f t="shared" si="6"/>
        <v>0</v>
      </c>
      <c r="N8" s="146">
        <f>K8+L8-M8</f>
        <v>0</v>
      </c>
      <c r="O8" s="352">
        <v>0</v>
      </c>
      <c r="P8" s="354">
        <f t="shared" si="1"/>
        <v>0</v>
      </c>
      <c r="Q8" s="145">
        <f>R40</f>
        <v>0</v>
      </c>
      <c r="R8" s="358">
        <f t="shared" si="7"/>
        <v>0</v>
      </c>
      <c r="S8" s="162">
        <f t="shared" si="8"/>
        <v>0</v>
      </c>
      <c r="T8" s="353">
        <f t="shared" si="9"/>
        <v>0</v>
      </c>
      <c r="U8" s="187">
        <f t="shared" si="10"/>
        <v>0</v>
      </c>
      <c r="V8" s="187">
        <f t="shared" si="11"/>
        <v>0</v>
      </c>
      <c r="W8" s="187">
        <f t="shared" si="12"/>
        <v>0</v>
      </c>
      <c r="X8" s="68">
        <v>0</v>
      </c>
      <c r="Y8" s="68"/>
      <c r="Z8" s="68"/>
      <c r="AA8" s="314"/>
      <c r="AB8" s="73" t="s">
        <v>8</v>
      </c>
      <c r="AC8" s="382">
        <v>0</v>
      </c>
      <c r="AD8" s="382">
        <v>0</v>
      </c>
      <c r="AE8" s="382">
        <v>0</v>
      </c>
    </row>
    <row r="9" spans="1:31" ht="18.75">
      <c r="A9" s="73" t="s">
        <v>48</v>
      </c>
      <c r="B9" s="350">
        <v>348111.74000000017</v>
      </c>
      <c r="C9" s="354">
        <f t="shared" si="2"/>
        <v>981115.0099999999</v>
      </c>
      <c r="D9" s="358">
        <f t="shared" si="3"/>
        <v>947464.5499999999</v>
      </c>
      <c r="E9" s="82">
        <v>54099.35</v>
      </c>
      <c r="F9" s="157">
        <f aca="true" t="shared" si="13" ref="F9:F32">B9+C9-D9-E9</f>
        <v>327662.8500000001</v>
      </c>
      <c r="G9" s="350">
        <v>23517.68999999999</v>
      </c>
      <c r="H9" s="354">
        <f t="shared" si="0"/>
        <v>16654</v>
      </c>
      <c r="I9" s="358">
        <f t="shared" si="4"/>
        <v>54835.97</v>
      </c>
      <c r="J9" s="158">
        <f>G9+H9-I9+15060.8</f>
        <v>396.5199999999859</v>
      </c>
      <c r="K9" s="351">
        <v>-1895.8799999999992</v>
      </c>
      <c r="L9" s="354">
        <f t="shared" si="5"/>
        <v>21605.38</v>
      </c>
      <c r="M9" s="358">
        <f t="shared" si="6"/>
        <v>22760.97</v>
      </c>
      <c r="N9" s="146">
        <f>K9+L9-M9+3325.35</f>
        <v>273.87999999999874</v>
      </c>
      <c r="O9" s="352">
        <v>-2435.6799999999994</v>
      </c>
      <c r="P9" s="354">
        <f t="shared" si="1"/>
        <v>2965.5800000000004</v>
      </c>
      <c r="Q9" s="145">
        <v>-8515.32</v>
      </c>
      <c r="R9" s="358">
        <f t="shared" si="7"/>
        <v>2448.71</v>
      </c>
      <c r="S9" s="162">
        <f t="shared" si="8"/>
        <v>6596.510000000001</v>
      </c>
      <c r="T9" s="353">
        <f t="shared" si="9"/>
        <v>340099.99</v>
      </c>
      <c r="U9" s="187">
        <f t="shared" si="10"/>
        <v>1022339.9699999999</v>
      </c>
      <c r="V9" s="187">
        <f t="shared" si="11"/>
        <v>1027510.1999999998</v>
      </c>
      <c r="W9" s="187">
        <f t="shared" si="12"/>
        <v>334929.76000000007</v>
      </c>
      <c r="X9" s="68">
        <v>340099.99</v>
      </c>
      <c r="Y9" s="68"/>
      <c r="Z9" s="68"/>
      <c r="AA9" s="314"/>
      <c r="AB9" s="73" t="s">
        <v>48</v>
      </c>
      <c r="AC9" s="444">
        <v>75892.62</v>
      </c>
      <c r="AD9" s="382">
        <v>105981.58</v>
      </c>
      <c r="AE9" s="382">
        <v>101419.76</v>
      </c>
    </row>
    <row r="10" spans="1:31" ht="18.75">
      <c r="A10" s="73" t="s">
        <v>9</v>
      </c>
      <c r="B10" s="350">
        <v>119519.3200000001</v>
      </c>
      <c r="C10" s="354">
        <f t="shared" si="2"/>
        <v>244341.88</v>
      </c>
      <c r="D10" s="358">
        <f t="shared" si="3"/>
        <v>226003.19</v>
      </c>
      <c r="E10" s="82">
        <v>52621.49</v>
      </c>
      <c r="F10" s="157">
        <f t="shared" si="13"/>
        <v>85236.52000000008</v>
      </c>
      <c r="G10" s="350">
        <v>27699.92</v>
      </c>
      <c r="H10" s="354">
        <f t="shared" si="0"/>
        <v>19269.699999999997</v>
      </c>
      <c r="I10" s="358">
        <f t="shared" si="4"/>
        <v>64145.329999999994</v>
      </c>
      <c r="J10" s="158">
        <f>G10+H10-I10+18796.88</f>
        <v>1621.170000000002</v>
      </c>
      <c r="K10" s="351">
        <v>0</v>
      </c>
      <c r="L10" s="354">
        <f t="shared" si="5"/>
        <v>0</v>
      </c>
      <c r="M10" s="358">
        <f t="shared" si="6"/>
        <v>0</v>
      </c>
      <c r="N10" s="146">
        <f>K10+L10-M10</f>
        <v>0</v>
      </c>
      <c r="O10" s="352">
        <v>111.83999999999989</v>
      </c>
      <c r="P10" s="354">
        <f t="shared" si="1"/>
        <v>765.7399999999999</v>
      </c>
      <c r="Q10" s="145">
        <v>1067.92</v>
      </c>
      <c r="R10" s="358">
        <f t="shared" si="7"/>
        <v>-213.20999999999995</v>
      </c>
      <c r="S10" s="162">
        <f t="shared" si="8"/>
        <v>22.869999999999692</v>
      </c>
      <c r="T10" s="353">
        <f t="shared" si="9"/>
        <v>112438.55</v>
      </c>
      <c r="U10" s="187">
        <f t="shared" si="10"/>
        <v>264377.32</v>
      </c>
      <c r="V10" s="187">
        <f t="shared" si="11"/>
        <v>289935.31</v>
      </c>
      <c r="W10" s="187">
        <f t="shared" si="12"/>
        <v>86880.56000000007</v>
      </c>
      <c r="X10" s="68">
        <v>112438.55</v>
      </c>
      <c r="Y10" s="68"/>
      <c r="Z10" s="68"/>
      <c r="AA10" s="314"/>
      <c r="AB10" s="73" t="s">
        <v>9</v>
      </c>
      <c r="AC10" s="444">
        <v>19556.2</v>
      </c>
      <c r="AD10" s="382">
        <v>23146.769999999997</v>
      </c>
      <c r="AE10" s="382">
        <v>20948.859999999997</v>
      </c>
    </row>
    <row r="11" spans="1:31" ht="18.75">
      <c r="A11" s="73" t="s">
        <v>10</v>
      </c>
      <c r="B11" s="350">
        <v>7659.3500000000895</v>
      </c>
      <c r="C11" s="354">
        <f t="shared" si="2"/>
        <v>105552.11999999998</v>
      </c>
      <c r="D11" s="358">
        <f t="shared" si="3"/>
        <v>102567.99999999999</v>
      </c>
      <c r="E11" s="82">
        <v>6.61</v>
      </c>
      <c r="F11" s="157">
        <f t="shared" si="13"/>
        <v>10636.860000000088</v>
      </c>
      <c r="G11" s="350">
        <v>0</v>
      </c>
      <c r="H11" s="354">
        <f t="shared" si="0"/>
        <v>0</v>
      </c>
      <c r="I11" s="358">
        <f t="shared" si="4"/>
        <v>0</v>
      </c>
      <c r="J11" s="158">
        <f>G11+H11-I11</f>
        <v>0</v>
      </c>
      <c r="K11" s="351">
        <v>0</v>
      </c>
      <c r="L11" s="354">
        <f t="shared" si="5"/>
        <v>0</v>
      </c>
      <c r="M11" s="358">
        <f t="shared" si="6"/>
        <v>0</v>
      </c>
      <c r="N11" s="146">
        <f>K11+L11-M11</f>
        <v>0</v>
      </c>
      <c r="O11" s="352">
        <v>0.779999999999994</v>
      </c>
      <c r="P11" s="354">
        <f t="shared" si="1"/>
        <v>92.69</v>
      </c>
      <c r="Q11" s="145">
        <v>46.9</v>
      </c>
      <c r="R11" s="358">
        <f t="shared" si="7"/>
        <v>45.79</v>
      </c>
      <c r="S11" s="162">
        <f t="shared" si="8"/>
        <v>0.7800000000000011</v>
      </c>
      <c r="T11" s="353">
        <f t="shared" si="9"/>
        <v>7606.62</v>
      </c>
      <c r="U11" s="187">
        <f t="shared" si="10"/>
        <v>105644.80999999998</v>
      </c>
      <c r="V11" s="187">
        <f t="shared" si="11"/>
        <v>102613.78999999998</v>
      </c>
      <c r="W11" s="187">
        <f t="shared" si="12"/>
        <v>10637.640000000089</v>
      </c>
      <c r="X11" s="68">
        <v>7606.62</v>
      </c>
      <c r="Y11" s="68"/>
      <c r="Z11" s="68"/>
      <c r="AA11" s="314"/>
      <c r="AB11" s="73" t="s">
        <v>10</v>
      </c>
      <c r="AC11" s="444">
        <v>7795.790000000001</v>
      </c>
      <c r="AD11" s="382">
        <v>7417.34</v>
      </c>
      <c r="AE11" s="382">
        <v>7417.34</v>
      </c>
    </row>
    <row r="12" spans="1:31" ht="18.75">
      <c r="A12" s="73" t="s">
        <v>11</v>
      </c>
      <c r="B12" s="350">
        <v>7106.7100000000355</v>
      </c>
      <c r="C12" s="354">
        <f t="shared" si="2"/>
        <v>105178.56000000001</v>
      </c>
      <c r="D12" s="358">
        <f t="shared" si="3"/>
        <v>103869.88</v>
      </c>
      <c r="E12" s="82">
        <v>157.92</v>
      </c>
      <c r="F12" s="157">
        <f t="shared" si="13"/>
        <v>8257.470000000043</v>
      </c>
      <c r="G12" s="350">
        <v>0</v>
      </c>
      <c r="H12" s="354">
        <f t="shared" si="0"/>
        <v>0</v>
      </c>
      <c r="I12" s="358">
        <f t="shared" si="4"/>
        <v>0</v>
      </c>
      <c r="J12" s="158">
        <f>G12+H12-I12</f>
        <v>0</v>
      </c>
      <c r="K12" s="351">
        <v>0</v>
      </c>
      <c r="L12" s="354">
        <f t="shared" si="5"/>
        <v>0</v>
      </c>
      <c r="M12" s="358">
        <f t="shared" si="6"/>
        <v>0</v>
      </c>
      <c r="N12" s="146">
        <f>K12+L12-M12</f>
        <v>0</v>
      </c>
      <c r="O12" s="352">
        <v>89.53</v>
      </c>
      <c r="P12" s="354">
        <f t="shared" si="1"/>
        <v>84.86000000000001</v>
      </c>
      <c r="Q12" s="145">
        <v>89.3</v>
      </c>
      <c r="R12" s="358">
        <f t="shared" si="7"/>
        <v>84.86000000000001</v>
      </c>
      <c r="S12" s="162">
        <f t="shared" si="8"/>
        <v>0.23000000000000398</v>
      </c>
      <c r="T12" s="353">
        <f t="shared" si="9"/>
        <v>6949.02</v>
      </c>
      <c r="U12" s="187">
        <f t="shared" si="10"/>
        <v>105263.42000000001</v>
      </c>
      <c r="V12" s="187">
        <f t="shared" si="11"/>
        <v>103954.74</v>
      </c>
      <c r="W12" s="187">
        <f t="shared" si="12"/>
        <v>8257.700000000043</v>
      </c>
      <c r="X12" s="68">
        <v>6949.02</v>
      </c>
      <c r="Y12" s="68"/>
      <c r="Z12" s="68"/>
      <c r="AA12" s="314"/>
      <c r="AB12" s="73" t="s">
        <v>11</v>
      </c>
      <c r="AC12" s="444">
        <v>7791.28</v>
      </c>
      <c r="AD12" s="382">
        <v>9453.61</v>
      </c>
      <c r="AE12" s="382">
        <v>9453.61</v>
      </c>
    </row>
    <row r="13" spans="1:31" ht="18.75">
      <c r="A13" s="73" t="s">
        <v>12</v>
      </c>
      <c r="B13" s="350">
        <v>75899.09000000023</v>
      </c>
      <c r="C13" s="354">
        <f t="shared" si="2"/>
        <v>601867.99</v>
      </c>
      <c r="D13" s="358">
        <f t="shared" si="3"/>
        <v>583513.9</v>
      </c>
      <c r="E13" s="82">
        <v>17707.63</v>
      </c>
      <c r="F13" s="157">
        <f t="shared" si="13"/>
        <v>76545.55000000016</v>
      </c>
      <c r="G13" s="350">
        <v>6724.639999999996</v>
      </c>
      <c r="H13" s="354">
        <f t="shared" si="0"/>
        <v>6937.4299999999985</v>
      </c>
      <c r="I13" s="358">
        <f t="shared" si="4"/>
        <v>19352.15</v>
      </c>
      <c r="J13" s="158">
        <f>G13+H13-I13+6273.73</f>
        <v>583.6499999999924</v>
      </c>
      <c r="K13" s="351">
        <v>1508.3999999999987</v>
      </c>
      <c r="L13" s="354">
        <f t="shared" si="5"/>
        <v>20666.880000000005</v>
      </c>
      <c r="M13" s="358">
        <f t="shared" si="6"/>
        <v>20666.880000000005</v>
      </c>
      <c r="N13" s="146">
        <f>K13+L13-M13+213.84</f>
        <v>1722.2399999999977</v>
      </c>
      <c r="O13" s="352">
        <v>373.47</v>
      </c>
      <c r="P13" s="354">
        <f t="shared" si="1"/>
        <v>935.1</v>
      </c>
      <c r="Q13" s="145">
        <v>67.98</v>
      </c>
      <c r="R13" s="358">
        <f t="shared" si="7"/>
        <v>949.9100000000001</v>
      </c>
      <c r="S13" s="162">
        <f t="shared" si="8"/>
        <v>290.68000000000006</v>
      </c>
      <c r="T13" s="353">
        <f t="shared" si="9"/>
        <v>73217.56</v>
      </c>
      <c r="U13" s="187">
        <f t="shared" si="10"/>
        <v>630407.4</v>
      </c>
      <c r="V13" s="187">
        <f t="shared" si="11"/>
        <v>624482.8400000001</v>
      </c>
      <c r="W13" s="187">
        <f t="shared" si="12"/>
        <v>79142.12000000014</v>
      </c>
      <c r="X13" s="68">
        <v>73217.56</v>
      </c>
      <c r="Y13" s="68"/>
      <c r="Z13" s="68"/>
      <c r="AA13" s="314"/>
      <c r="AB13" s="73" t="s">
        <v>12</v>
      </c>
      <c r="AC13" s="444">
        <v>46581.58</v>
      </c>
      <c r="AD13" s="382">
        <v>51600.78</v>
      </c>
      <c r="AE13" s="382">
        <v>49557.1</v>
      </c>
    </row>
    <row r="14" spans="1:31" ht="18.75">
      <c r="A14" s="73" t="s">
        <v>13</v>
      </c>
      <c r="B14" s="350">
        <v>53865.190000000046</v>
      </c>
      <c r="C14" s="354">
        <f t="shared" si="2"/>
        <v>355820.86</v>
      </c>
      <c r="D14" s="358">
        <f t="shared" si="3"/>
        <v>352430.53</v>
      </c>
      <c r="E14" s="82">
        <v>2216.16</v>
      </c>
      <c r="F14" s="157">
        <f t="shared" si="13"/>
        <v>55039.360000000015</v>
      </c>
      <c r="G14" s="350">
        <v>2441.179999999999</v>
      </c>
      <c r="H14" s="354">
        <f t="shared" si="0"/>
        <v>2338.51</v>
      </c>
      <c r="I14" s="358">
        <f t="shared" si="4"/>
        <v>6523.389999999999</v>
      </c>
      <c r="J14" s="158">
        <f>G14+H14-I14+1940.44</f>
        <v>196.73999999999933</v>
      </c>
      <c r="K14" s="351">
        <v>-2290.02</v>
      </c>
      <c r="L14" s="354">
        <f t="shared" si="5"/>
        <v>8733.240000000002</v>
      </c>
      <c r="M14" s="358">
        <f t="shared" si="6"/>
        <v>8733.24</v>
      </c>
      <c r="N14" s="146">
        <f>K14+L14-M14+2290.02</f>
        <v>0</v>
      </c>
      <c r="O14" s="352">
        <v>75.28</v>
      </c>
      <c r="P14" s="354">
        <f t="shared" si="1"/>
        <v>663.2099999999999</v>
      </c>
      <c r="Q14" s="145">
        <v>-19.44</v>
      </c>
      <c r="R14" s="358">
        <f t="shared" si="7"/>
        <v>681.8399999999999</v>
      </c>
      <c r="S14" s="162">
        <f t="shared" si="8"/>
        <v>76.09000000000003</v>
      </c>
      <c r="T14" s="353">
        <f t="shared" si="9"/>
        <v>56125.37</v>
      </c>
      <c r="U14" s="187">
        <f t="shared" si="10"/>
        <v>367555.82</v>
      </c>
      <c r="V14" s="187">
        <f t="shared" si="11"/>
        <v>368369.00000000006</v>
      </c>
      <c r="W14" s="187">
        <f t="shared" si="12"/>
        <v>55312.19000000001</v>
      </c>
      <c r="X14" s="68">
        <v>56125.37</v>
      </c>
      <c r="Y14" s="68"/>
      <c r="Z14" s="68"/>
      <c r="AA14" s="314"/>
      <c r="AB14" s="73" t="s">
        <v>13</v>
      </c>
      <c r="AC14" s="444">
        <v>27103.799999999996</v>
      </c>
      <c r="AD14" s="382">
        <v>30851.92</v>
      </c>
      <c r="AE14" s="382">
        <v>28742.52</v>
      </c>
    </row>
    <row r="15" spans="1:31" ht="18.75">
      <c r="A15" s="73" t="s">
        <v>14</v>
      </c>
      <c r="B15" s="350">
        <v>57351.680000000066</v>
      </c>
      <c r="C15" s="354">
        <f t="shared" si="2"/>
        <v>438890.28</v>
      </c>
      <c r="D15" s="358">
        <f t="shared" si="3"/>
        <v>440520.93000000005</v>
      </c>
      <c r="E15" s="82">
        <v>15557.5</v>
      </c>
      <c r="F15" s="157">
        <f t="shared" si="13"/>
        <v>40163.53000000003</v>
      </c>
      <c r="G15" s="350">
        <v>3945.3199999999997</v>
      </c>
      <c r="H15" s="354">
        <f t="shared" si="0"/>
        <v>0</v>
      </c>
      <c r="I15" s="358">
        <f t="shared" si="4"/>
        <v>5236.1</v>
      </c>
      <c r="J15" s="158">
        <f>G15+H15-I15+1290.78</f>
        <v>0</v>
      </c>
      <c r="K15" s="351">
        <v>3558.7799999999993</v>
      </c>
      <c r="L15" s="354">
        <f t="shared" si="5"/>
        <v>35112</v>
      </c>
      <c r="M15" s="358">
        <f t="shared" si="6"/>
        <v>35449.130000000005</v>
      </c>
      <c r="N15" s="146">
        <f>K15+L15-M15-1916.81</f>
        <v>1304.8399999999942</v>
      </c>
      <c r="O15" s="352">
        <v>-423.08000000000004</v>
      </c>
      <c r="P15" s="354">
        <f t="shared" si="1"/>
        <v>722.5200000000001</v>
      </c>
      <c r="Q15" s="145">
        <v>-233.53</v>
      </c>
      <c r="R15" s="358">
        <f t="shared" si="7"/>
        <v>510.36</v>
      </c>
      <c r="S15" s="162">
        <f t="shared" si="8"/>
        <v>22.610000000000014</v>
      </c>
      <c r="T15" s="353">
        <f t="shared" si="9"/>
        <v>48482.7</v>
      </c>
      <c r="U15" s="187">
        <f t="shared" si="10"/>
        <v>474724.80000000005</v>
      </c>
      <c r="V15" s="187">
        <f t="shared" si="11"/>
        <v>481716.52</v>
      </c>
      <c r="W15" s="187">
        <f t="shared" si="12"/>
        <v>41490.980000000025</v>
      </c>
      <c r="X15" s="68">
        <v>48482.7</v>
      </c>
      <c r="Y15" s="68"/>
      <c r="Z15" s="68"/>
      <c r="AA15" s="314"/>
      <c r="AB15" s="73" t="s">
        <v>14</v>
      </c>
      <c r="AC15" s="444">
        <v>35012.439999999995</v>
      </c>
      <c r="AD15" s="382">
        <v>37916.850000000006</v>
      </c>
      <c r="AE15" s="382">
        <v>33773.3</v>
      </c>
    </row>
    <row r="16" spans="1:31" ht="18.75">
      <c r="A16" s="73" t="s">
        <v>55</v>
      </c>
      <c r="B16" s="350">
        <v>40672.59</v>
      </c>
      <c r="C16" s="354">
        <f t="shared" si="2"/>
        <v>195341.65000000002</v>
      </c>
      <c r="D16" s="358">
        <f t="shared" si="3"/>
        <v>201351.06</v>
      </c>
      <c r="E16" s="82">
        <v>-860.73</v>
      </c>
      <c r="F16" s="157">
        <f t="shared" si="13"/>
        <v>35523.910000000025</v>
      </c>
      <c r="G16" s="350">
        <v>2411.5</v>
      </c>
      <c r="H16" s="354">
        <f t="shared" si="0"/>
        <v>2487.8</v>
      </c>
      <c r="I16" s="358">
        <f t="shared" si="4"/>
        <v>6939.8</v>
      </c>
      <c r="J16" s="158">
        <f>G16+H16-I16+2249.8</f>
        <v>209.30000000000018</v>
      </c>
      <c r="K16" s="351">
        <v>1488.8900000000021</v>
      </c>
      <c r="L16" s="354">
        <f t="shared" si="5"/>
        <v>9278.52</v>
      </c>
      <c r="M16" s="358">
        <f t="shared" si="6"/>
        <v>8220.060000000001</v>
      </c>
      <c r="N16" s="146">
        <f>K16+L16-M16-2126.96</f>
        <v>420.39000000000215</v>
      </c>
      <c r="O16" s="352">
        <v>-84.25999999999999</v>
      </c>
      <c r="P16" s="354">
        <f t="shared" si="1"/>
        <v>186.46</v>
      </c>
      <c r="Q16" s="145">
        <v>-765.33</v>
      </c>
      <c r="R16" s="358">
        <f t="shared" si="7"/>
        <v>866.0299999999999</v>
      </c>
      <c r="S16" s="162">
        <f t="shared" si="8"/>
        <v>1.5000000000002274</v>
      </c>
      <c r="T16" s="353">
        <f t="shared" si="9"/>
        <v>46237.62</v>
      </c>
      <c r="U16" s="187">
        <f t="shared" si="10"/>
        <v>207294.43</v>
      </c>
      <c r="V16" s="187">
        <f t="shared" si="11"/>
        <v>217376.94999999998</v>
      </c>
      <c r="W16" s="187">
        <f t="shared" si="12"/>
        <v>36155.10000000003</v>
      </c>
      <c r="X16" s="68">
        <v>46237.62</v>
      </c>
      <c r="Y16" s="68"/>
      <c r="Z16" s="68"/>
      <c r="AA16" s="314"/>
      <c r="AB16" s="73" t="s">
        <v>55</v>
      </c>
      <c r="AC16" s="444">
        <v>15463.829999999998</v>
      </c>
      <c r="AD16" s="382">
        <v>28086.06</v>
      </c>
      <c r="AE16" s="382">
        <v>27900.56</v>
      </c>
    </row>
    <row r="17" spans="1:31" ht="18.75">
      <c r="A17" s="73" t="s">
        <v>15</v>
      </c>
      <c r="B17" s="350">
        <v>107123.59000000032</v>
      </c>
      <c r="C17" s="354">
        <f t="shared" si="2"/>
        <v>469906.8500000001</v>
      </c>
      <c r="D17" s="358">
        <f t="shared" si="3"/>
        <v>449364.06999999995</v>
      </c>
      <c r="E17" s="82">
        <v>-2543.45</v>
      </c>
      <c r="F17" s="157">
        <f t="shared" si="13"/>
        <v>130209.82000000046</v>
      </c>
      <c r="G17" s="350">
        <v>0</v>
      </c>
      <c r="H17" s="354">
        <f t="shared" si="0"/>
        <v>0</v>
      </c>
      <c r="I17" s="358">
        <f t="shared" si="4"/>
        <v>0</v>
      </c>
      <c r="J17" s="158">
        <f>G17+H17-I17</f>
        <v>0</v>
      </c>
      <c r="K17" s="351">
        <v>-2497.36</v>
      </c>
      <c r="L17" s="354">
        <f t="shared" si="5"/>
        <v>26508.12000000001</v>
      </c>
      <c r="M17" s="358">
        <f t="shared" si="6"/>
        <v>66305.02</v>
      </c>
      <c r="N17" s="146">
        <f>K17+L17-M17+125947.61</f>
        <v>83653.35</v>
      </c>
      <c r="O17" s="352">
        <v>445.75999999999976</v>
      </c>
      <c r="P17" s="354">
        <f t="shared" si="1"/>
        <v>945.0099999999999</v>
      </c>
      <c r="Q17" s="145">
        <v>88.11</v>
      </c>
      <c r="R17" s="358">
        <f t="shared" si="7"/>
        <v>933.63</v>
      </c>
      <c r="S17" s="162">
        <f t="shared" si="8"/>
        <v>369.02999999999963</v>
      </c>
      <c r="T17" s="353">
        <f t="shared" si="9"/>
        <v>233474.94</v>
      </c>
      <c r="U17" s="187">
        <f t="shared" si="10"/>
        <v>497359.9800000001</v>
      </c>
      <c r="V17" s="187">
        <f t="shared" si="11"/>
        <v>516602.72</v>
      </c>
      <c r="W17" s="187">
        <f t="shared" si="12"/>
        <v>214232.20000000045</v>
      </c>
      <c r="X17" s="68">
        <v>233474.94</v>
      </c>
      <c r="Y17" s="68"/>
      <c r="Z17" s="68"/>
      <c r="AA17" s="314"/>
      <c r="AB17" s="73" t="s">
        <v>15</v>
      </c>
      <c r="AC17" s="444">
        <v>36831.49</v>
      </c>
      <c r="AD17" s="382">
        <v>47339.26</v>
      </c>
      <c r="AE17" s="382">
        <v>43068.76</v>
      </c>
    </row>
    <row r="18" spans="1:31" ht="18.75">
      <c r="A18" s="73" t="s">
        <v>16</v>
      </c>
      <c r="B18" s="350">
        <v>29099.450000000077</v>
      </c>
      <c r="C18" s="354">
        <f t="shared" si="2"/>
        <v>382416.5999999999</v>
      </c>
      <c r="D18" s="358">
        <f t="shared" si="3"/>
        <v>376555.07</v>
      </c>
      <c r="E18" s="82">
        <v>3936.09</v>
      </c>
      <c r="F18" s="157">
        <f t="shared" si="13"/>
        <v>31024.88999999998</v>
      </c>
      <c r="G18" s="350">
        <v>0</v>
      </c>
      <c r="H18" s="354">
        <f t="shared" si="0"/>
        <v>0</v>
      </c>
      <c r="I18" s="358">
        <f t="shared" si="4"/>
        <v>0</v>
      </c>
      <c r="J18" s="158">
        <f>G18+H18-I18</f>
        <v>0</v>
      </c>
      <c r="K18" s="351">
        <v>1163.880000000002</v>
      </c>
      <c r="L18" s="354">
        <f t="shared" si="5"/>
        <v>3939.600000000001</v>
      </c>
      <c r="M18" s="358">
        <f t="shared" si="6"/>
        <v>3939.6</v>
      </c>
      <c r="N18" s="146">
        <f>K18+L18-M18-1163.88</f>
        <v>3.183231456205249E-12</v>
      </c>
      <c r="O18" s="352">
        <v>81.15999999999998</v>
      </c>
      <c r="P18" s="354">
        <f t="shared" si="1"/>
        <v>583.12</v>
      </c>
      <c r="Q18" s="145">
        <v>25.91</v>
      </c>
      <c r="R18" s="358">
        <f t="shared" si="7"/>
        <v>637.98</v>
      </c>
      <c r="S18" s="162">
        <f t="shared" si="8"/>
        <v>0.38999999999998636</v>
      </c>
      <c r="T18" s="353">
        <f t="shared" si="9"/>
        <v>25218.61</v>
      </c>
      <c r="U18" s="187">
        <f t="shared" si="10"/>
        <v>386939.3199999999</v>
      </c>
      <c r="V18" s="187">
        <f t="shared" si="11"/>
        <v>381132.64999999997</v>
      </c>
      <c r="W18" s="187">
        <f t="shared" si="12"/>
        <v>31025.279999999984</v>
      </c>
      <c r="X18" s="68">
        <v>25218.61</v>
      </c>
      <c r="Y18" s="68"/>
      <c r="Z18" s="68"/>
      <c r="AA18" s="314"/>
      <c r="AB18" s="73" t="s">
        <v>16</v>
      </c>
      <c r="AC18" s="444">
        <v>28554.32</v>
      </c>
      <c r="AD18" s="382">
        <v>34400.01</v>
      </c>
      <c r="AE18" s="382">
        <v>32945.21</v>
      </c>
    </row>
    <row r="19" spans="1:31" ht="18.75">
      <c r="A19" s="73" t="s">
        <v>17</v>
      </c>
      <c r="B19" s="350">
        <v>52512.350000000304</v>
      </c>
      <c r="C19" s="354">
        <f t="shared" si="2"/>
        <v>497913.12000000005</v>
      </c>
      <c r="D19" s="358">
        <f t="shared" si="3"/>
        <v>489592.06000000006</v>
      </c>
      <c r="E19" s="82">
        <v>10400.28</v>
      </c>
      <c r="F19" s="157">
        <f t="shared" si="13"/>
        <v>50433.13000000027</v>
      </c>
      <c r="G19" s="350">
        <v>4788.550000000001</v>
      </c>
      <c r="H19" s="354">
        <f t="shared" si="0"/>
        <v>4940.06</v>
      </c>
      <c r="I19" s="358">
        <f t="shared" si="4"/>
        <v>13780.460000000001</v>
      </c>
      <c r="J19" s="158">
        <f>G19+H19-I19+4467.46</f>
        <v>415.6099999999997</v>
      </c>
      <c r="K19" s="351">
        <v>619.5699999999998</v>
      </c>
      <c r="L19" s="354">
        <f t="shared" si="5"/>
        <v>8388.719999999998</v>
      </c>
      <c r="M19" s="358">
        <f t="shared" si="6"/>
        <v>7689.659999999998</v>
      </c>
      <c r="N19" s="146">
        <f>K19+L19-M19-619.57</f>
        <v>699.0599999999991</v>
      </c>
      <c r="O19" s="352">
        <v>35.12000000000003</v>
      </c>
      <c r="P19" s="354">
        <f t="shared" si="1"/>
        <v>498.91999999999996</v>
      </c>
      <c r="Q19" s="145">
        <v>54.42</v>
      </c>
      <c r="R19" s="358">
        <f t="shared" si="7"/>
        <v>437.21</v>
      </c>
      <c r="S19" s="162">
        <f t="shared" si="8"/>
        <v>42.40999999999997</v>
      </c>
      <c r="T19" s="353">
        <f t="shared" si="9"/>
        <v>51348.78</v>
      </c>
      <c r="U19" s="187">
        <f t="shared" si="10"/>
        <v>511740.82</v>
      </c>
      <c r="V19" s="187">
        <f t="shared" si="11"/>
        <v>511499.3900000001</v>
      </c>
      <c r="W19" s="187">
        <f t="shared" si="12"/>
        <v>51590.21000000027</v>
      </c>
      <c r="X19" s="68">
        <v>51348.78</v>
      </c>
      <c r="Y19" s="68"/>
      <c r="Z19" s="68"/>
      <c r="AA19" s="314"/>
      <c r="AB19" s="73" t="s">
        <v>17</v>
      </c>
      <c r="AC19" s="444">
        <v>37792.07</v>
      </c>
      <c r="AD19" s="382">
        <v>44139.39</v>
      </c>
      <c r="AE19" s="382">
        <v>43771.04</v>
      </c>
    </row>
    <row r="20" spans="1:31" ht="18.75">
      <c r="A20" s="73" t="s">
        <v>18</v>
      </c>
      <c r="B20" s="350">
        <v>157801.8100000001</v>
      </c>
      <c r="C20" s="354">
        <f t="shared" si="2"/>
        <v>1061386.28</v>
      </c>
      <c r="D20" s="358">
        <f t="shared" si="3"/>
        <v>1064605.81</v>
      </c>
      <c r="E20" s="82">
        <v>4736.86</v>
      </c>
      <c r="F20" s="157">
        <f t="shared" si="13"/>
        <v>149845.42000000004</v>
      </c>
      <c r="G20" s="350">
        <v>840.0499999999986</v>
      </c>
      <c r="H20" s="354">
        <f t="shared" si="0"/>
        <v>0</v>
      </c>
      <c r="I20" s="358">
        <f t="shared" si="4"/>
        <v>493.96000000000004</v>
      </c>
      <c r="J20" s="158">
        <f>G20+H20-I20-346.09</f>
        <v>-1.4210854715202004E-12</v>
      </c>
      <c r="K20" s="351">
        <v>-686.3500000000004</v>
      </c>
      <c r="L20" s="354">
        <f t="shared" si="5"/>
        <v>32256.850000000006</v>
      </c>
      <c r="M20" s="358">
        <f>N52+M83+M114+M145+M176+M207+M239+M271+M303+M336+M367+M399</f>
        <v>30863.54</v>
      </c>
      <c r="N20" s="146">
        <f>K20+L20-M20+686.38</f>
        <v>1393.3400000000065</v>
      </c>
      <c r="O20" s="352">
        <v>410.4100000000002</v>
      </c>
      <c r="P20" s="354">
        <f t="shared" si="1"/>
        <v>2418.12</v>
      </c>
      <c r="Q20" s="145">
        <v>157.02</v>
      </c>
      <c r="R20" s="358">
        <f t="shared" si="7"/>
        <v>2425.45</v>
      </c>
      <c r="S20" s="162">
        <f t="shared" si="8"/>
        <v>246.0600000000004</v>
      </c>
      <c r="T20" s="353">
        <f t="shared" si="9"/>
        <v>153812.33</v>
      </c>
      <c r="U20" s="187">
        <f t="shared" si="10"/>
        <v>1096061.2500000002</v>
      </c>
      <c r="V20" s="187">
        <f t="shared" si="11"/>
        <v>1098388.76</v>
      </c>
      <c r="W20" s="187">
        <f t="shared" si="12"/>
        <v>151484.82000000004</v>
      </c>
      <c r="X20" s="68">
        <v>153812.33</v>
      </c>
      <c r="Y20" s="68"/>
      <c r="Z20" s="68"/>
      <c r="AA20" s="314"/>
      <c r="AB20" s="73" t="s">
        <v>18</v>
      </c>
      <c r="AC20" s="444">
        <v>80792.51000000001</v>
      </c>
      <c r="AD20" s="382">
        <v>96548.22</v>
      </c>
      <c r="AE20" s="382">
        <v>92453.97</v>
      </c>
    </row>
    <row r="21" spans="1:31" ht="18.75">
      <c r="A21" s="73" t="s">
        <v>54</v>
      </c>
      <c r="B21" s="350">
        <v>49762.600000000355</v>
      </c>
      <c r="C21" s="354">
        <f t="shared" si="2"/>
        <v>455173.2099999999</v>
      </c>
      <c r="D21" s="358">
        <f t="shared" si="3"/>
        <v>450361.07999999996</v>
      </c>
      <c r="E21" s="82">
        <v>11272.21</v>
      </c>
      <c r="F21" s="157">
        <f t="shared" si="13"/>
        <v>43302.52000000033</v>
      </c>
      <c r="G21" s="350">
        <v>4305.600000000003</v>
      </c>
      <c r="H21" s="354">
        <f t="shared" si="0"/>
        <v>3511.33</v>
      </c>
      <c r="I21" s="358">
        <f t="shared" si="4"/>
        <v>10696.01</v>
      </c>
      <c r="J21" s="158">
        <f>G21+H21-I21+3174.49</f>
        <v>295.4100000000026</v>
      </c>
      <c r="K21" s="351">
        <v>0</v>
      </c>
      <c r="L21" s="354">
        <f t="shared" si="5"/>
        <v>0</v>
      </c>
      <c r="M21" s="358">
        <f t="shared" si="6"/>
        <v>0</v>
      </c>
      <c r="N21" s="146">
        <f>K21+L21-M21</f>
        <v>0</v>
      </c>
      <c r="O21" s="352">
        <v>-1073.9</v>
      </c>
      <c r="P21" s="354">
        <f t="shared" si="1"/>
        <v>340.55000000000007</v>
      </c>
      <c r="Q21" s="145">
        <v>-1123.47</v>
      </c>
      <c r="R21" s="358">
        <f>S53+R84+R115+R146+R177+R208+R240+R272+R304+R337+R368+R400</f>
        <v>377.13000000000005</v>
      </c>
      <c r="S21" s="162">
        <f t="shared" si="8"/>
        <v>12.989999999999952</v>
      </c>
      <c r="T21" s="353">
        <f t="shared" si="9"/>
        <v>46020.05</v>
      </c>
      <c r="U21" s="187">
        <f t="shared" si="10"/>
        <v>459025.0899999999</v>
      </c>
      <c r="V21" s="187">
        <f t="shared" si="11"/>
        <v>461434.22</v>
      </c>
      <c r="W21" s="187">
        <f t="shared" si="12"/>
        <v>43610.92000000033</v>
      </c>
      <c r="X21" s="68">
        <v>46020.05</v>
      </c>
      <c r="Y21" s="68"/>
      <c r="Z21" s="68"/>
      <c r="AA21" s="314"/>
      <c r="AB21" s="73" t="s">
        <v>54</v>
      </c>
      <c r="AC21" s="444">
        <v>34036.01</v>
      </c>
      <c r="AD21" s="382">
        <v>42239.689999999995</v>
      </c>
      <c r="AE21" s="382">
        <v>41797.67</v>
      </c>
    </row>
    <row r="22" spans="1:31" ht="18.75">
      <c r="A22" s="73" t="s">
        <v>49</v>
      </c>
      <c r="B22" s="350">
        <v>187631.77000000016</v>
      </c>
      <c r="C22" s="354">
        <f t="shared" si="2"/>
        <v>968059.2100000002</v>
      </c>
      <c r="D22" s="358">
        <f t="shared" si="3"/>
        <v>954466.3</v>
      </c>
      <c r="E22" s="82">
        <v>36821.35</v>
      </c>
      <c r="F22" s="157">
        <f t="shared" si="13"/>
        <v>164403.3300000004</v>
      </c>
      <c r="G22" s="350">
        <v>10624.380000000001</v>
      </c>
      <c r="H22" s="354">
        <f t="shared" si="0"/>
        <v>10960.580000000002</v>
      </c>
      <c r="I22" s="358">
        <f t="shared" si="4"/>
        <v>30574.82</v>
      </c>
      <c r="J22" s="158">
        <f>G22+H22-I22+9911.98</f>
        <v>922.1200000000026</v>
      </c>
      <c r="K22" s="351">
        <v>2721.660000000003</v>
      </c>
      <c r="L22" s="354">
        <f t="shared" si="5"/>
        <v>43364.56</v>
      </c>
      <c r="M22" s="358">
        <f t="shared" si="6"/>
        <v>41687.759999999995</v>
      </c>
      <c r="N22" s="146">
        <f>K22+L22-M22-2257.62</f>
        <v>2140.8400000000065</v>
      </c>
      <c r="O22" s="352">
        <v>-831.8000000000001</v>
      </c>
      <c r="P22" s="354">
        <f t="shared" si="1"/>
        <v>1906.0500000000002</v>
      </c>
      <c r="Q22" s="145">
        <v>-2471.98</v>
      </c>
      <c r="R22" s="358">
        <f t="shared" si="7"/>
        <v>1907.1100000000001</v>
      </c>
      <c r="S22" s="162">
        <f t="shared" si="8"/>
        <v>1639.12</v>
      </c>
      <c r="T22" s="353">
        <f t="shared" si="9"/>
        <v>173451</v>
      </c>
      <c r="U22" s="187">
        <f t="shared" si="10"/>
        <v>1024290.4000000001</v>
      </c>
      <c r="V22" s="187">
        <f t="shared" si="11"/>
        <v>1028635.99</v>
      </c>
      <c r="W22" s="187">
        <f>F22+J22+N22+S22</f>
        <v>169105.41000000038</v>
      </c>
      <c r="X22" s="68">
        <v>173451</v>
      </c>
      <c r="Y22" s="68"/>
      <c r="Z22" s="68"/>
      <c r="AA22" s="314"/>
      <c r="AB22" s="73" t="s">
        <v>49</v>
      </c>
      <c r="AC22" s="444">
        <v>75577.86</v>
      </c>
      <c r="AD22" s="444">
        <v>92224.11</v>
      </c>
      <c r="AE22" s="382">
        <v>87882.52</v>
      </c>
    </row>
    <row r="23" spans="1:31" ht="18.75">
      <c r="A23" s="73" t="s">
        <v>19</v>
      </c>
      <c r="B23" s="350">
        <v>81541.29999999996</v>
      </c>
      <c r="C23" s="354">
        <f t="shared" si="2"/>
        <v>714198.66</v>
      </c>
      <c r="D23" s="358">
        <f t="shared" si="3"/>
        <v>702558.1599999999</v>
      </c>
      <c r="E23" s="82">
        <v>10208.33</v>
      </c>
      <c r="F23" s="157">
        <f t="shared" si="13"/>
        <v>82973.47000000004</v>
      </c>
      <c r="G23" s="350">
        <v>5042.539999999998</v>
      </c>
      <c r="H23" s="354">
        <f t="shared" si="0"/>
        <v>4783.639999999999</v>
      </c>
      <c r="I23" s="358">
        <f>J55+I86+I117+I148+I179+I210+I242+I274+I306+I339+I370+I402</f>
        <v>13344.2</v>
      </c>
      <c r="J23" s="158">
        <f>G23+H23-I23+3920.47</f>
        <v>402.4499999999957</v>
      </c>
      <c r="K23" s="351">
        <v>727.1800000000007</v>
      </c>
      <c r="L23" s="354">
        <f t="shared" si="5"/>
        <v>14108.04</v>
      </c>
      <c r="M23" s="358">
        <f t="shared" si="6"/>
        <v>13298.600000000002</v>
      </c>
      <c r="N23" s="146">
        <f>K23+L23-M23-703.01</f>
        <v>833.609999999999</v>
      </c>
      <c r="O23" s="352">
        <v>305.0200000000003</v>
      </c>
      <c r="P23" s="354">
        <f t="shared" si="1"/>
        <v>855.81</v>
      </c>
      <c r="Q23" s="145">
        <v>-418.47</v>
      </c>
      <c r="R23" s="358">
        <f t="shared" si="7"/>
        <v>1213.1100000000001</v>
      </c>
      <c r="S23" s="162">
        <f t="shared" si="8"/>
        <v>366.1900000000003</v>
      </c>
      <c r="T23" s="353">
        <f t="shared" si="9"/>
        <v>81043.64</v>
      </c>
      <c r="U23" s="187">
        <f t="shared" si="10"/>
        <v>733946.1500000001</v>
      </c>
      <c r="V23" s="187">
        <f>D23+I23+M23+R23</f>
        <v>730414.0699999998</v>
      </c>
      <c r="W23" s="187">
        <f t="shared" si="12"/>
        <v>84575.72000000004</v>
      </c>
      <c r="X23" s="68">
        <v>81043.64</v>
      </c>
      <c r="Y23" s="68"/>
      <c r="Z23" s="68"/>
      <c r="AA23" s="314"/>
      <c r="AB23" s="73" t="s">
        <v>19</v>
      </c>
      <c r="AC23" s="444">
        <v>54359.270000000004</v>
      </c>
      <c r="AD23" s="382">
        <v>59430.6</v>
      </c>
      <c r="AE23" s="382">
        <v>57425.09</v>
      </c>
    </row>
    <row r="24" spans="1:31" ht="18.75">
      <c r="A24" s="80" t="s">
        <v>20</v>
      </c>
      <c r="B24" s="350">
        <v>64646.300000000076</v>
      </c>
      <c r="C24" s="354">
        <f t="shared" si="2"/>
        <v>464056.92000000016</v>
      </c>
      <c r="D24" s="358">
        <f t="shared" si="3"/>
        <v>463618.72</v>
      </c>
      <c r="E24" s="83">
        <v>9598.02</v>
      </c>
      <c r="F24" s="157">
        <f t="shared" si="13"/>
        <v>55486.48000000023</v>
      </c>
      <c r="G24" s="350">
        <v>0</v>
      </c>
      <c r="H24" s="354">
        <f t="shared" si="0"/>
        <v>0</v>
      </c>
      <c r="I24" s="358">
        <f t="shared" si="4"/>
        <v>0</v>
      </c>
      <c r="J24" s="159">
        <f>G24+H24-I24</f>
        <v>0</v>
      </c>
      <c r="K24" s="351">
        <v>3766.87</v>
      </c>
      <c r="L24" s="354">
        <f t="shared" si="5"/>
        <v>9240.399999999998</v>
      </c>
      <c r="M24" s="358">
        <f t="shared" si="6"/>
        <v>11996.399999999998</v>
      </c>
      <c r="N24" s="89">
        <f>K24+L24-M24-233.47</f>
        <v>777.399999999999</v>
      </c>
      <c r="O24" s="352">
        <v>105.80999999999995</v>
      </c>
      <c r="P24" s="354">
        <f t="shared" si="1"/>
        <v>636.53</v>
      </c>
      <c r="Q24" s="145">
        <v>28.13</v>
      </c>
      <c r="R24" s="358">
        <f t="shared" si="7"/>
        <v>628.02</v>
      </c>
      <c r="S24" s="162">
        <f t="shared" si="8"/>
        <v>86.18999999999994</v>
      </c>
      <c r="T24" s="353">
        <f t="shared" si="9"/>
        <v>58659.36</v>
      </c>
      <c r="U24" s="187">
        <f t="shared" si="10"/>
        <v>473933.8500000002</v>
      </c>
      <c r="V24" s="187">
        <f t="shared" si="11"/>
        <v>476243.14</v>
      </c>
      <c r="W24" s="187">
        <f t="shared" si="12"/>
        <v>56350.07000000023</v>
      </c>
      <c r="X24" s="68">
        <v>58659.36</v>
      </c>
      <c r="Y24" s="68"/>
      <c r="Z24" s="68"/>
      <c r="AA24" s="314"/>
      <c r="AB24" s="80" t="s">
        <v>20</v>
      </c>
      <c r="AC24" s="444">
        <v>34987.920000000006</v>
      </c>
      <c r="AD24" s="382">
        <v>39703.840000000004</v>
      </c>
      <c r="AE24" s="382">
        <v>38325.840000000004</v>
      </c>
    </row>
    <row r="25" spans="1:31" ht="22.5" customHeight="1">
      <c r="A25" s="73" t="s">
        <v>114</v>
      </c>
      <c r="B25" s="350">
        <v>-450918.2800000005</v>
      </c>
      <c r="C25" s="354">
        <f t="shared" si="2"/>
        <v>580022.7200000002</v>
      </c>
      <c r="D25" s="358">
        <f t="shared" si="3"/>
        <v>580851.0900000001</v>
      </c>
      <c r="E25" s="83">
        <v>-535290.79</v>
      </c>
      <c r="F25" s="157">
        <f t="shared" si="13"/>
        <v>83544.13999999966</v>
      </c>
      <c r="G25" s="350">
        <v>0</v>
      </c>
      <c r="H25" s="354">
        <f t="shared" si="0"/>
        <v>3603.8</v>
      </c>
      <c r="I25" s="358">
        <f t="shared" si="4"/>
        <v>10052.84</v>
      </c>
      <c r="J25" s="159">
        <f>G25+H25-I25+6752.23</f>
        <v>303.1899999999996</v>
      </c>
      <c r="K25" s="351">
        <v>0</v>
      </c>
      <c r="L25" s="354">
        <f t="shared" si="5"/>
        <v>12758.959999999995</v>
      </c>
      <c r="M25" s="358">
        <f t="shared" si="6"/>
        <v>13548.919999999998</v>
      </c>
      <c r="N25" s="89">
        <f>K25+L25-M25+1495.6</f>
        <v>705.6399999999971</v>
      </c>
      <c r="O25" s="352">
        <v>-3.280000000000001</v>
      </c>
      <c r="P25" s="354">
        <f t="shared" si="1"/>
        <v>586.58</v>
      </c>
      <c r="Q25" s="145">
        <v>-4957.63</v>
      </c>
      <c r="R25" s="358">
        <f t="shared" si="7"/>
        <v>629.75</v>
      </c>
      <c r="S25" s="162">
        <f t="shared" si="8"/>
        <v>4911.18</v>
      </c>
      <c r="T25" s="353">
        <f t="shared" si="9"/>
        <v>97574.69</v>
      </c>
      <c r="U25" s="187">
        <f t="shared" si="10"/>
        <v>596972.0600000002</v>
      </c>
      <c r="V25" s="187">
        <f t="shared" si="11"/>
        <v>605082.6000000001</v>
      </c>
      <c r="W25" s="187">
        <f t="shared" si="12"/>
        <v>89464.14999999967</v>
      </c>
      <c r="X25" s="68">
        <v>97574.69</v>
      </c>
      <c r="Y25" s="68"/>
      <c r="Z25" s="68"/>
      <c r="AA25" s="314"/>
      <c r="AB25" s="73" t="s">
        <v>114</v>
      </c>
      <c r="AC25" s="444">
        <v>43615.42</v>
      </c>
      <c r="AD25" s="444">
        <v>50090.079999999994</v>
      </c>
      <c r="AE25" s="382">
        <v>47699.78</v>
      </c>
    </row>
    <row r="26" spans="1:31" ht="18.75">
      <c r="A26" s="73" t="s">
        <v>115</v>
      </c>
      <c r="B26" s="350">
        <v>20264.379999999932</v>
      </c>
      <c r="C26" s="354">
        <f t="shared" si="2"/>
        <v>201782.15999999995</v>
      </c>
      <c r="D26" s="358">
        <f t="shared" si="3"/>
        <v>209266.19000000003</v>
      </c>
      <c r="E26" s="83">
        <v>-6033.61</v>
      </c>
      <c r="F26" s="157">
        <f t="shared" si="13"/>
        <v>18813.95999999983</v>
      </c>
      <c r="G26" s="350">
        <v>0</v>
      </c>
      <c r="H26" s="354">
        <f t="shared" si="0"/>
        <v>0</v>
      </c>
      <c r="I26" s="358">
        <f t="shared" si="4"/>
        <v>0</v>
      </c>
      <c r="J26" s="159">
        <f>G26+H26-I26</f>
        <v>0</v>
      </c>
      <c r="K26" s="351">
        <v>0</v>
      </c>
      <c r="L26" s="354">
        <f t="shared" si="5"/>
        <v>0</v>
      </c>
      <c r="M26" s="358">
        <f t="shared" si="6"/>
        <v>0</v>
      </c>
      <c r="N26" s="89">
        <f>K26+L26-M26</f>
        <v>0</v>
      </c>
      <c r="O26" s="352">
        <v>-0.5599999999999996</v>
      </c>
      <c r="P26" s="354">
        <f t="shared" si="1"/>
        <v>434.57</v>
      </c>
      <c r="Q26" s="145">
        <v>-9.36</v>
      </c>
      <c r="R26" s="358">
        <f t="shared" si="7"/>
        <v>490.46</v>
      </c>
      <c r="S26" s="162">
        <f t="shared" si="8"/>
        <v>-47.089999999999975</v>
      </c>
      <c r="T26" s="353">
        <f t="shared" si="9"/>
        <v>26306.79</v>
      </c>
      <c r="U26" s="187">
        <f t="shared" si="10"/>
        <v>202216.72999999995</v>
      </c>
      <c r="V26" s="187">
        <f t="shared" si="11"/>
        <v>209756.65000000002</v>
      </c>
      <c r="W26" s="187">
        <f t="shared" si="12"/>
        <v>18766.86999999983</v>
      </c>
      <c r="X26" s="68">
        <v>26306.79</v>
      </c>
      <c r="AA26" s="314"/>
      <c r="AB26" s="73" t="s">
        <v>115</v>
      </c>
      <c r="AC26" s="444">
        <v>14931.529999999999</v>
      </c>
      <c r="AD26" s="382">
        <v>15680.42</v>
      </c>
      <c r="AE26" s="382">
        <v>15680.42</v>
      </c>
    </row>
    <row r="27" spans="1:31" ht="18.75">
      <c r="A27" s="73" t="s">
        <v>188</v>
      </c>
      <c r="B27" s="949">
        <v>12213.979999999938</v>
      </c>
      <c r="C27" s="354">
        <f aca="true" t="shared" si="14" ref="C27:C32">C59+C90+C121+C152+C183+C214+C246+C278+C310+C343+C374+C406</f>
        <v>535562.1799999999</v>
      </c>
      <c r="D27" s="358">
        <f t="shared" si="3"/>
        <v>532168.36</v>
      </c>
      <c r="E27" s="83">
        <v>-34104.21</v>
      </c>
      <c r="F27" s="157">
        <f t="shared" si="13"/>
        <v>49712.00999999993</v>
      </c>
      <c r="G27" s="350">
        <v>2373.87</v>
      </c>
      <c r="H27" s="354">
        <f t="shared" si="0"/>
        <v>4541.989999999999</v>
      </c>
      <c r="I27" s="358">
        <f t="shared" si="4"/>
        <v>12675.370000000003</v>
      </c>
      <c r="J27" s="159">
        <f>G27+H27-I27+6141.63</f>
        <v>382.11999999999625</v>
      </c>
      <c r="K27" s="351">
        <v>5009.190000000002</v>
      </c>
      <c r="L27" s="354">
        <f t="shared" si="5"/>
        <v>25488.52</v>
      </c>
      <c r="M27" s="358">
        <f t="shared" si="6"/>
        <v>88244.01999999999</v>
      </c>
      <c r="N27" s="89">
        <f>K27+L27-M27+58904.63</f>
        <v>1158.3200000000143</v>
      </c>
      <c r="O27" s="352">
        <v>-4838.96</v>
      </c>
      <c r="P27" s="354">
        <f t="shared" si="1"/>
        <v>920.49</v>
      </c>
      <c r="Q27" s="145">
        <v>-4849.38</v>
      </c>
      <c r="R27" s="358">
        <f t="shared" si="7"/>
        <v>930.2599999999999</v>
      </c>
      <c r="S27" s="162">
        <f t="shared" si="8"/>
        <v>0.6499999999999773</v>
      </c>
      <c r="T27" s="353">
        <f t="shared" si="9"/>
        <v>118757.93</v>
      </c>
      <c r="U27" s="187">
        <f t="shared" si="10"/>
        <v>566513.1799999999</v>
      </c>
      <c r="V27" s="187">
        <f t="shared" si="11"/>
        <v>634018.01</v>
      </c>
      <c r="W27" s="187">
        <f t="shared" si="12"/>
        <v>51253.09999999994</v>
      </c>
      <c r="X27" s="68">
        <v>118757.93</v>
      </c>
      <c r="AA27" s="819"/>
      <c r="AB27" s="73" t="s">
        <v>188</v>
      </c>
      <c r="AC27" s="444">
        <v>41460.009999999995</v>
      </c>
      <c r="AD27" s="382">
        <v>48333.67</v>
      </c>
      <c r="AE27" s="382">
        <v>45963.409999999996</v>
      </c>
    </row>
    <row r="28" spans="1:31" ht="18.75">
      <c r="A28" s="73" t="s">
        <v>189</v>
      </c>
      <c r="B28" s="949">
        <v>81873.59000000001</v>
      </c>
      <c r="C28" s="354">
        <f t="shared" si="14"/>
        <v>621705.37</v>
      </c>
      <c r="D28" s="358">
        <f t="shared" si="3"/>
        <v>654516.89</v>
      </c>
      <c r="E28" s="83">
        <v>-38539.72</v>
      </c>
      <c r="F28" s="157">
        <f t="shared" si="13"/>
        <v>87601.78999999995</v>
      </c>
      <c r="G28" s="350">
        <v>6231.74</v>
      </c>
      <c r="H28" s="354">
        <f t="shared" si="0"/>
        <v>25290.22</v>
      </c>
      <c r="I28" s="358">
        <f t="shared" si="4"/>
        <v>66099.16</v>
      </c>
      <c r="J28" s="159">
        <f>G28+H28-I28+36704.88</f>
        <v>2127.679999999993</v>
      </c>
      <c r="K28" s="351">
        <v>-16528.399999999998</v>
      </c>
      <c r="L28" s="354">
        <f t="shared" si="5"/>
        <v>19651.76</v>
      </c>
      <c r="M28" s="358">
        <f t="shared" si="6"/>
        <v>19302.06</v>
      </c>
      <c r="N28" s="89">
        <f>K28+L28-M28+16969.85</f>
        <v>791.1499999999978</v>
      </c>
      <c r="O28" s="352">
        <v>-45080.85</v>
      </c>
      <c r="P28" s="354">
        <f t="shared" si="1"/>
        <v>1903.5099999999998</v>
      </c>
      <c r="Q28" s="145">
        <v>-53063.78</v>
      </c>
      <c r="R28" s="358">
        <f t="shared" si="7"/>
        <v>8200.339999999998</v>
      </c>
      <c r="S28" s="162">
        <f t="shared" si="8"/>
        <v>1686.100000000004</v>
      </c>
      <c r="T28" s="353">
        <f t="shared" si="9"/>
        <v>171774.31</v>
      </c>
      <c r="U28" s="187">
        <f t="shared" si="10"/>
        <v>668550.86</v>
      </c>
      <c r="V28" s="187">
        <f t="shared" si="11"/>
        <v>748118.4500000001</v>
      </c>
      <c r="W28" s="187">
        <f t="shared" si="12"/>
        <v>92206.71999999994</v>
      </c>
      <c r="X28" s="68">
        <v>171774.31</v>
      </c>
      <c r="AA28" s="819"/>
      <c r="AB28" s="73" t="s">
        <v>189</v>
      </c>
      <c r="AC28" s="444">
        <v>50650.78999999999</v>
      </c>
      <c r="AD28" s="382">
        <v>63870.18</v>
      </c>
      <c r="AE28" s="382">
        <v>59670.99</v>
      </c>
    </row>
    <row r="29" spans="1:31" ht="18.75">
      <c r="A29" s="73" t="s">
        <v>218</v>
      </c>
      <c r="B29" s="949">
        <v>104485.14000000001</v>
      </c>
      <c r="C29" s="354">
        <f t="shared" si="14"/>
        <v>573075.48</v>
      </c>
      <c r="D29" s="358">
        <f t="shared" si="3"/>
        <v>569671.16</v>
      </c>
      <c r="E29" s="83">
        <v>0</v>
      </c>
      <c r="F29" s="157">
        <f t="shared" si="13"/>
        <v>107889.45999999996</v>
      </c>
      <c r="G29" s="350">
        <v>0</v>
      </c>
      <c r="H29" s="354">
        <f t="shared" si="0"/>
        <v>0</v>
      </c>
      <c r="I29" s="358">
        <f t="shared" si="4"/>
        <v>0</v>
      </c>
      <c r="J29" s="159">
        <f>G29+H29-I29</f>
        <v>0</v>
      </c>
      <c r="K29" s="351">
        <v>-62945.81</v>
      </c>
      <c r="L29" s="354">
        <f t="shared" si="5"/>
        <v>8697.32</v>
      </c>
      <c r="M29" s="358">
        <f t="shared" si="6"/>
        <v>8697.32</v>
      </c>
      <c r="N29" s="89">
        <f>K29+L29-M29+62945.81</f>
        <v>0</v>
      </c>
      <c r="O29" s="352">
        <v>-58549.320000000014</v>
      </c>
      <c r="P29" s="354">
        <f t="shared" si="1"/>
        <v>572.74</v>
      </c>
      <c r="Q29" s="145">
        <v>-66933.62</v>
      </c>
      <c r="R29" s="358">
        <f t="shared" si="7"/>
        <v>2550.36</v>
      </c>
      <c r="S29" s="162">
        <f t="shared" si="8"/>
        <v>6406.6799999999785</v>
      </c>
      <c r="T29" s="353">
        <f t="shared" si="9"/>
        <v>112869.44</v>
      </c>
      <c r="U29" s="187">
        <f t="shared" si="10"/>
        <v>582345.5399999999</v>
      </c>
      <c r="V29" s="187">
        <f t="shared" si="11"/>
        <v>580918.84</v>
      </c>
      <c r="W29" s="187">
        <f t="shared" si="12"/>
        <v>114296.13999999994</v>
      </c>
      <c r="X29" s="68">
        <v>112869.44</v>
      </c>
      <c r="AA29" s="819"/>
      <c r="AB29" s="73" t="s">
        <v>218</v>
      </c>
      <c r="AC29" s="444">
        <v>43095.850000000006</v>
      </c>
      <c r="AD29" s="382">
        <v>47000.049999999996</v>
      </c>
      <c r="AE29" s="382">
        <v>46357.689999999995</v>
      </c>
    </row>
    <row r="30" spans="1:31" ht="18.75">
      <c r="A30" s="73" t="s">
        <v>238</v>
      </c>
      <c r="B30" s="949">
        <v>62888.500000000015</v>
      </c>
      <c r="C30" s="354">
        <f t="shared" si="14"/>
        <v>213219.48000000007</v>
      </c>
      <c r="D30" s="358">
        <f t="shared" si="3"/>
        <v>246166.17999999996</v>
      </c>
      <c r="E30" s="83">
        <v>0</v>
      </c>
      <c r="F30" s="157">
        <f t="shared" si="13"/>
        <v>29941.800000000134</v>
      </c>
      <c r="G30" s="350">
        <v>0</v>
      </c>
      <c r="H30" s="354">
        <f>I62+H93+H124+H155+H186+H217+H249+H281+H313+H346+H377+H409</f>
        <v>0</v>
      </c>
      <c r="I30" s="358">
        <f t="shared" si="4"/>
        <v>0</v>
      </c>
      <c r="J30" s="159">
        <f>G30+H30-I30</f>
        <v>0</v>
      </c>
      <c r="K30" s="351">
        <v>0</v>
      </c>
      <c r="L30" s="354">
        <f t="shared" si="5"/>
        <v>0</v>
      </c>
      <c r="M30" s="358">
        <f t="shared" si="6"/>
        <v>0</v>
      </c>
      <c r="N30" s="89">
        <f>K30+L30-M30</f>
        <v>0</v>
      </c>
      <c r="O30" s="352">
        <v>0</v>
      </c>
      <c r="P30" s="354">
        <f t="shared" si="1"/>
        <v>1119.2799999999997</v>
      </c>
      <c r="Q30" s="145">
        <v>-3741.9</v>
      </c>
      <c r="R30" s="358">
        <f t="shared" si="7"/>
        <v>4837.430000000001</v>
      </c>
      <c r="S30" s="162">
        <f t="shared" si="8"/>
        <v>23.74999999999909</v>
      </c>
      <c r="T30" s="353">
        <f t="shared" si="9"/>
        <v>66630.4</v>
      </c>
      <c r="U30" s="187">
        <f t="shared" si="10"/>
        <v>214338.76000000007</v>
      </c>
      <c r="V30" s="187">
        <f t="shared" si="11"/>
        <v>251003.60999999996</v>
      </c>
      <c r="W30" s="187">
        <f t="shared" si="12"/>
        <v>29965.550000000134</v>
      </c>
      <c r="X30" s="68">
        <v>66630.4</v>
      </c>
      <c r="AA30" s="819"/>
      <c r="AB30" s="73" t="s">
        <v>238</v>
      </c>
      <c r="AC30" s="444">
        <v>15982.63</v>
      </c>
      <c r="AD30" s="382">
        <v>17298.77</v>
      </c>
      <c r="AE30" s="382">
        <v>17298.77</v>
      </c>
    </row>
    <row r="31" spans="1:31" ht="18.75">
      <c r="A31" s="73" t="s">
        <v>304</v>
      </c>
      <c r="B31" s="1055">
        <v>372751.24999999977</v>
      </c>
      <c r="C31" s="354">
        <f t="shared" si="14"/>
        <v>751370.61</v>
      </c>
      <c r="D31" s="358">
        <f t="shared" si="3"/>
        <v>852025.9199999999</v>
      </c>
      <c r="E31" s="83">
        <v>45912.2</v>
      </c>
      <c r="F31" s="157">
        <f t="shared" si="13"/>
        <v>226183.73999999993</v>
      </c>
      <c r="G31" s="350">
        <v>0</v>
      </c>
      <c r="H31" s="354">
        <f>I63+H94+H125+H156+H187+H218+H250+H282+H314+H347+H378+H410</f>
        <v>0</v>
      </c>
      <c r="I31" s="358">
        <f t="shared" si="4"/>
        <v>0</v>
      </c>
      <c r="J31" s="159">
        <f>G31+H31-I31</f>
        <v>0</v>
      </c>
      <c r="K31" s="351">
        <v>0</v>
      </c>
      <c r="L31" s="354">
        <f t="shared" si="5"/>
        <v>22669.079999999998</v>
      </c>
      <c r="M31" s="358">
        <f t="shared" si="6"/>
        <v>22626.1</v>
      </c>
      <c r="N31" s="89">
        <f>K31+L31-M31+31587.14</f>
        <v>31630.12</v>
      </c>
      <c r="O31" s="352">
        <v>0</v>
      </c>
      <c r="P31" s="354">
        <f t="shared" si="1"/>
        <v>6609.8</v>
      </c>
      <c r="Q31" s="145">
        <v>-73228.67</v>
      </c>
      <c r="R31" s="358">
        <f t="shared" si="7"/>
        <v>49481.87</v>
      </c>
      <c r="S31" s="162">
        <f t="shared" si="8"/>
        <v>30356.6</v>
      </c>
      <c r="T31" s="353">
        <f t="shared" si="9"/>
        <v>431654.86</v>
      </c>
      <c r="U31" s="187">
        <f t="shared" si="10"/>
        <v>780649.49</v>
      </c>
      <c r="V31" s="187">
        <f t="shared" si="11"/>
        <v>924133.8899999999</v>
      </c>
      <c r="W31" s="187">
        <f t="shared" si="12"/>
        <v>288170.4599999999</v>
      </c>
      <c r="X31" s="68">
        <v>431654.86</v>
      </c>
      <c r="AA31" s="819"/>
      <c r="AB31" s="73" t="s">
        <v>408</v>
      </c>
      <c r="AC31" s="444">
        <v>57442.03</v>
      </c>
      <c r="AD31" s="382">
        <v>101856.81999999999</v>
      </c>
      <c r="AE31" s="382">
        <v>99523.81</v>
      </c>
    </row>
    <row r="32" spans="1:31" ht="18.75">
      <c r="A32" s="73" t="s">
        <v>321</v>
      </c>
      <c r="B32" s="1055">
        <v>690468.2299999999</v>
      </c>
      <c r="C32" s="354">
        <f t="shared" si="14"/>
        <v>767917.1100000001</v>
      </c>
      <c r="D32" s="358">
        <f t="shared" si="3"/>
        <v>1273667.4500000002</v>
      </c>
      <c r="E32" s="83">
        <v>35529.97</v>
      </c>
      <c r="F32" s="157">
        <f t="shared" si="13"/>
        <v>149187.91999999966</v>
      </c>
      <c r="G32" s="350">
        <v>0</v>
      </c>
      <c r="H32" s="354">
        <f>I64+H95+H126+H157+H188+H219+H251+H283+H315+H348+H379+H411</f>
        <v>0</v>
      </c>
      <c r="I32" s="358">
        <f t="shared" si="4"/>
        <v>0</v>
      </c>
      <c r="J32" s="159">
        <f>G32+H32-I32</f>
        <v>0</v>
      </c>
      <c r="K32" s="351">
        <v>0</v>
      </c>
      <c r="L32" s="354">
        <f t="shared" si="5"/>
        <v>74967.78</v>
      </c>
      <c r="M32" s="358">
        <f t="shared" si="6"/>
        <v>71123.78000000001</v>
      </c>
      <c r="N32" s="89">
        <f>K32+L32-M32+788.71</f>
        <v>4632.7099999999855</v>
      </c>
      <c r="O32" s="352">
        <v>0</v>
      </c>
      <c r="P32" s="354">
        <f t="shared" si="1"/>
        <v>12475.26</v>
      </c>
      <c r="Q32" s="145">
        <v>-162409.36</v>
      </c>
      <c r="R32" s="358">
        <f t="shared" si="7"/>
        <v>166324.53000000003</v>
      </c>
      <c r="S32" s="162">
        <f t="shared" si="8"/>
        <v>8560.089999999967</v>
      </c>
      <c r="T32" s="353">
        <f t="shared" si="9"/>
        <v>818136.33</v>
      </c>
      <c r="U32" s="187">
        <f t="shared" si="10"/>
        <v>855360.1500000001</v>
      </c>
      <c r="V32" s="187">
        <f t="shared" si="11"/>
        <v>1511115.7600000002</v>
      </c>
      <c r="W32" s="187">
        <f t="shared" si="12"/>
        <v>162380.71999999962</v>
      </c>
      <c r="X32" s="68">
        <v>818136.33</v>
      </c>
      <c r="AA32" s="819"/>
      <c r="AB32" s="73" t="s">
        <v>317</v>
      </c>
      <c r="AC32" s="444">
        <v>62273.87</v>
      </c>
      <c r="AD32" s="382">
        <v>255214.28999999998</v>
      </c>
      <c r="AE32" s="382">
        <v>245086.65</v>
      </c>
    </row>
    <row r="33" spans="1:31" ht="21">
      <c r="A33" s="241" t="s">
        <v>21</v>
      </c>
      <c r="B33" s="354">
        <v>925721.0800000002</v>
      </c>
      <c r="C33" s="356">
        <f aca="true" t="shared" si="15" ref="C33:S33">SUM(C6:C32)</f>
        <v>12874970.87</v>
      </c>
      <c r="D33" s="356">
        <f t="shared" si="15"/>
        <v>13398029.05</v>
      </c>
      <c r="E33" s="356">
        <f t="shared" si="15"/>
        <v>-268998.89</v>
      </c>
      <c r="F33" s="498">
        <f>SUM(F6:F32)-F8</f>
        <v>2298798.4600000014</v>
      </c>
      <c r="G33" s="356">
        <f t="shared" si="15"/>
        <v>123556.86999999997</v>
      </c>
      <c r="H33" s="356">
        <f t="shared" si="15"/>
        <v>124519.55</v>
      </c>
      <c r="I33" s="498">
        <f t="shared" si="15"/>
        <v>369122.18999999994</v>
      </c>
      <c r="J33" s="356">
        <f t="shared" si="15"/>
        <v>9369.329999999954</v>
      </c>
      <c r="K33" s="499">
        <f t="shared" si="15"/>
        <v>-75267.98999999999</v>
      </c>
      <c r="L33" s="356">
        <f t="shared" si="15"/>
        <v>456907.02000000014</v>
      </c>
      <c r="M33" s="356">
        <f>SUM(M6:M32)</f>
        <v>554624.35</v>
      </c>
      <c r="N33" s="356">
        <f t="shared" si="15"/>
        <v>132274.34</v>
      </c>
      <c r="O33" s="500">
        <f t="shared" si="15"/>
        <v>-112627.83000000002</v>
      </c>
      <c r="P33" s="357">
        <f t="shared" si="15"/>
        <v>40726.9</v>
      </c>
      <c r="Q33" s="357">
        <f t="shared" si="15"/>
        <v>-386128.61</v>
      </c>
      <c r="R33" s="1536">
        <f t="shared" si="15"/>
        <v>248922.37000000002</v>
      </c>
      <c r="S33" s="356">
        <f t="shared" si="15"/>
        <v>65305.309999999954</v>
      </c>
      <c r="T33" s="357">
        <f>SUM(T6:T32)</f>
        <v>3579321.0599999996</v>
      </c>
      <c r="U33" s="357">
        <f>SUM(U6:U32)</f>
        <v>13497124.34</v>
      </c>
      <c r="V33" s="357">
        <f>SUM(V6:V32)</f>
        <v>14570697.959999999</v>
      </c>
      <c r="W33" s="357">
        <f>SUM(W6:W32)</f>
        <v>2505747.4400000013</v>
      </c>
      <c r="X33" s="1541">
        <f>SUM(X6:X32)</f>
        <v>3579321.0599999996</v>
      </c>
      <c r="AA33" s="41"/>
      <c r="AB33" s="241" t="s">
        <v>88</v>
      </c>
      <c r="AC33" s="444">
        <v>997000.6900000003</v>
      </c>
      <c r="AD33" s="382">
        <v>1419228.4500000002</v>
      </c>
      <c r="AE33" s="382">
        <v>1356813.8499999999</v>
      </c>
    </row>
    <row r="34" spans="1:31" ht="18.75">
      <c r="A34" s="68"/>
      <c r="B34" s="68"/>
      <c r="C34" s="68"/>
      <c r="D34" s="68"/>
      <c r="E34" s="68"/>
      <c r="F34" s="68"/>
      <c r="G34" s="106"/>
      <c r="H34" s="68"/>
      <c r="I34" s="68"/>
      <c r="J34" s="68"/>
      <c r="K34" s="70"/>
      <c r="L34" s="79"/>
      <c r="M34" s="68"/>
      <c r="N34" s="68"/>
      <c r="O34" s="70"/>
      <c r="P34" s="68"/>
      <c r="Q34" s="68"/>
      <c r="R34" s="68"/>
      <c r="S34" s="68"/>
      <c r="T34" s="68"/>
      <c r="U34" s="68"/>
      <c r="W34" s="39">
        <f>F33+J33+N33+S33</f>
        <v>2505747.4400000013</v>
      </c>
      <c r="AB34" s="889"/>
      <c r="AC34" s="890"/>
      <c r="AD34" s="890"/>
      <c r="AE34" s="890"/>
    </row>
    <row r="35" spans="1:31" ht="19.5" thickBot="1">
      <c r="A35" s="68"/>
      <c r="B35" s="69" t="s">
        <v>181</v>
      </c>
      <c r="C35" s="69"/>
      <c r="D35" s="69"/>
      <c r="E35" s="69"/>
      <c r="F35" s="68"/>
      <c r="G35" s="68"/>
      <c r="H35" s="69"/>
      <c r="I35" s="68"/>
      <c r="J35" s="68"/>
      <c r="K35" s="70"/>
      <c r="L35" s="68" t="s">
        <v>407</v>
      </c>
      <c r="M35" s="68"/>
      <c r="N35" s="68"/>
      <c r="O35" s="70"/>
      <c r="P35" s="68"/>
      <c r="Q35" s="68"/>
      <c r="R35" s="68"/>
      <c r="S35" s="68"/>
      <c r="T35" s="70"/>
      <c r="AB35" s="889"/>
      <c r="AC35" s="890"/>
      <c r="AD35" s="890"/>
      <c r="AE35" s="890"/>
    </row>
    <row r="36" spans="1:31" ht="19.5" thickBot="1">
      <c r="A36" s="489" t="s">
        <v>135</v>
      </c>
      <c r="B36" s="1659" t="s">
        <v>400</v>
      </c>
      <c r="C36" s="1661" t="s">
        <v>2</v>
      </c>
      <c r="D36" s="1662"/>
      <c r="E36" s="1662"/>
      <c r="F36" s="1663"/>
      <c r="G36" s="178"/>
      <c r="H36" s="1638" t="s">
        <v>3</v>
      </c>
      <c r="I36" s="1639"/>
      <c r="J36" s="1640"/>
      <c r="K36" s="93"/>
      <c r="L36" s="1646" t="s">
        <v>4</v>
      </c>
      <c r="M36" s="1647"/>
      <c r="N36" s="1647"/>
      <c r="O36" s="1198"/>
      <c r="P36" s="1644" t="s">
        <v>66</v>
      </c>
      <c r="Q36" s="1644"/>
      <c r="R36" s="1644"/>
      <c r="S36" s="1645"/>
      <c r="T36" s="97"/>
      <c r="U36" s="100" t="s">
        <v>67</v>
      </c>
      <c r="V36" s="100" t="s">
        <v>69</v>
      </c>
      <c r="W36" s="101" t="s">
        <v>71</v>
      </c>
      <c r="X36" s="102" t="s">
        <v>72</v>
      </c>
      <c r="AB36" s="867"/>
      <c r="AC36" s="678"/>
      <c r="AD36" s="678"/>
      <c r="AE36" s="678"/>
    </row>
    <row r="37" spans="1:31" ht="54.75" thickBot="1">
      <c r="A37" s="378" t="s">
        <v>134</v>
      </c>
      <c r="B37" s="1660"/>
      <c r="C37" s="179" t="s">
        <v>5</v>
      </c>
      <c r="D37" s="179" t="s">
        <v>58</v>
      </c>
      <c r="E37" s="179"/>
      <c r="F37" s="179" t="s">
        <v>6</v>
      </c>
      <c r="G37" s="180" t="s">
        <v>489</v>
      </c>
      <c r="H37" s="945" t="s">
        <v>490</v>
      </c>
      <c r="I37" s="95" t="s">
        <v>5</v>
      </c>
      <c r="J37" s="95" t="s">
        <v>6</v>
      </c>
      <c r="K37" s="96" t="s">
        <v>491</v>
      </c>
      <c r="L37" s="368" t="s">
        <v>400</v>
      </c>
      <c r="M37" s="122" t="s">
        <v>5</v>
      </c>
      <c r="N37" s="363" t="s">
        <v>6</v>
      </c>
      <c r="O37" s="122" t="s">
        <v>182</v>
      </c>
      <c r="P37" s="369" t="s">
        <v>492</v>
      </c>
      <c r="Q37" s="163" t="s">
        <v>33</v>
      </c>
      <c r="R37" s="164" t="s">
        <v>64</v>
      </c>
      <c r="S37" s="164" t="s">
        <v>183</v>
      </c>
      <c r="T37" s="98" t="s">
        <v>7</v>
      </c>
      <c r="U37" s="103" t="s">
        <v>68</v>
      </c>
      <c r="V37" s="104" t="s">
        <v>70</v>
      </c>
      <c r="W37" s="104" t="s">
        <v>70</v>
      </c>
      <c r="X37" s="504" t="s">
        <v>79</v>
      </c>
      <c r="Y37" s="239" t="s">
        <v>106</v>
      </c>
      <c r="Z37" s="239" t="s">
        <v>107</v>
      </c>
      <c r="AA37" s="845" t="s">
        <v>145</v>
      </c>
      <c r="AB37" s="668"/>
      <c r="AC37" s="673"/>
      <c r="AD37" s="673"/>
      <c r="AE37" s="674"/>
    </row>
    <row r="38" spans="1:31" ht="18.75">
      <c r="A38" s="90" t="s">
        <v>47</v>
      </c>
      <c r="B38" s="157">
        <f aca="true" t="shared" si="16" ref="B38:B64">B6</f>
        <v>107164.90999999995</v>
      </c>
      <c r="C38" s="1214">
        <v>15047.49</v>
      </c>
      <c r="D38" s="517"/>
      <c r="E38" s="517"/>
      <c r="F38" s="518">
        <v>10821.56</v>
      </c>
      <c r="G38" s="519">
        <f>B38+C38+D38-F38</f>
        <v>111390.83999999995</v>
      </c>
      <c r="H38" s="946">
        <f aca="true" t="shared" si="17" ref="H38:H64">G6</f>
        <v>22511.74999999999</v>
      </c>
      <c r="I38" s="1209">
        <v>1334.01</v>
      </c>
      <c r="J38" s="91"/>
      <c r="K38" s="520">
        <f>H38+I38-J38</f>
        <v>23845.759999999987</v>
      </c>
      <c r="L38" s="521">
        <f aca="true" t="shared" si="18" ref="L38:L64">K6</f>
        <v>-5365.19</v>
      </c>
      <c r="M38" s="380">
        <v>4819.88</v>
      </c>
      <c r="N38" s="1208">
        <v>4819.88</v>
      </c>
      <c r="O38" s="380">
        <f aca="true" t="shared" si="19" ref="O38:O64">L38+M38-N38</f>
        <v>-5365.19</v>
      </c>
      <c r="P38" s="522">
        <f aca="true" t="shared" si="20" ref="P38:P64">O6</f>
        <v>-1524.96</v>
      </c>
      <c r="Q38" s="1219">
        <v>67.75</v>
      </c>
      <c r="R38" s="1220"/>
      <c r="S38" s="1219">
        <v>76.24</v>
      </c>
      <c r="T38" s="509">
        <f>P38+Q38-R38-S38</f>
        <v>-1533.45</v>
      </c>
      <c r="U38" s="130">
        <f>S38</f>
        <v>76.24</v>
      </c>
      <c r="V38" s="134">
        <f>N38</f>
        <v>4819.88</v>
      </c>
      <c r="W38" s="134">
        <f>J38</f>
        <v>0</v>
      </c>
      <c r="X38" s="277">
        <f>U38+V38+W38</f>
        <v>4896.12</v>
      </c>
      <c r="Y38" s="270">
        <f>C38+I38+M38+Q38</f>
        <v>21269.13</v>
      </c>
      <c r="Z38" s="270">
        <f>F38+J38+N38+S38</f>
        <v>15717.679999999998</v>
      </c>
      <c r="AA38" s="515">
        <f>F38+S38</f>
        <v>10897.8</v>
      </c>
      <c r="AB38" s="669"/>
      <c r="AC38" s="675"/>
      <c r="AD38" s="676"/>
      <c r="AE38" s="676"/>
    </row>
    <row r="39" spans="1:31" ht="18.75">
      <c r="A39" s="76" t="s">
        <v>53</v>
      </c>
      <c r="B39" s="157">
        <f t="shared" si="16"/>
        <v>111361.21000000021</v>
      </c>
      <c r="C39" s="1215">
        <v>33877.29</v>
      </c>
      <c r="D39" s="524"/>
      <c r="E39" s="524"/>
      <c r="F39" s="525">
        <v>24998.32</v>
      </c>
      <c r="G39" s="526">
        <f aca="true" t="shared" si="21" ref="G39:G64">B39+C39+D39-F39</f>
        <v>120240.1800000002</v>
      </c>
      <c r="H39" s="946">
        <f t="shared" si="17"/>
        <v>98.13999999999976</v>
      </c>
      <c r="I39" s="1209">
        <v>258.4</v>
      </c>
      <c r="J39" s="91"/>
      <c r="K39" s="520">
        <f aca="true" t="shared" si="22" ref="K39:K64">H39+I39-J39</f>
        <v>356.53999999999974</v>
      </c>
      <c r="L39" s="521">
        <f t="shared" si="18"/>
        <v>-3623.3999999999996</v>
      </c>
      <c r="M39" s="380">
        <v>120.78</v>
      </c>
      <c r="N39" s="1208">
        <v>120.78</v>
      </c>
      <c r="O39" s="380">
        <f t="shared" si="19"/>
        <v>-3623.3999999999996</v>
      </c>
      <c r="P39" s="522">
        <f t="shared" si="20"/>
        <v>184.64</v>
      </c>
      <c r="Q39" s="1219">
        <v>4.62</v>
      </c>
      <c r="R39" s="1220"/>
      <c r="S39" s="1219">
        <v>6.93</v>
      </c>
      <c r="T39" s="509">
        <f aca="true" t="shared" si="23" ref="T39:T64">P39+Q39-R39-S39</f>
        <v>182.32999999999998</v>
      </c>
      <c r="U39" s="130">
        <f aca="true" t="shared" si="24" ref="U39:U64">S39</f>
        <v>6.93</v>
      </c>
      <c r="V39" s="134">
        <f aca="true" t="shared" si="25" ref="V39:V64">N39</f>
        <v>120.78</v>
      </c>
      <c r="W39" s="134">
        <f aca="true" t="shared" si="26" ref="W39:W64">J39</f>
        <v>0</v>
      </c>
      <c r="X39" s="277">
        <f aca="true" t="shared" si="27" ref="X39:X64">U39+V39+W39</f>
        <v>127.71000000000001</v>
      </c>
      <c r="Y39" s="270">
        <f aca="true" t="shared" si="28" ref="Y39:Y64">C39+I39+M39+Q39</f>
        <v>34261.090000000004</v>
      </c>
      <c r="Z39" s="270">
        <f aca="true" t="shared" si="29" ref="Z39:Z64">F39+J39+N39+S39</f>
        <v>25126.03</v>
      </c>
      <c r="AA39" s="515">
        <f aca="true" t="shared" si="30" ref="AA39:AA64">F39+S39</f>
        <v>25005.25</v>
      </c>
      <c r="AB39" s="669"/>
      <c r="AC39" s="675"/>
      <c r="AD39" s="676"/>
      <c r="AE39" s="676"/>
    </row>
    <row r="40" spans="1:31" ht="18.75">
      <c r="A40" s="76" t="s">
        <v>8</v>
      </c>
      <c r="B40" s="157">
        <f t="shared" si="16"/>
        <v>74445.62</v>
      </c>
      <c r="C40" s="1216"/>
      <c r="D40" s="525"/>
      <c r="E40" s="525"/>
      <c r="F40" s="525"/>
      <c r="G40" s="526">
        <f t="shared" si="21"/>
        <v>74445.62</v>
      </c>
      <c r="H40" s="946">
        <f t="shared" si="17"/>
        <v>0</v>
      </c>
      <c r="I40" s="1210"/>
      <c r="J40" s="527"/>
      <c r="K40" s="520">
        <f t="shared" si="22"/>
        <v>0</v>
      </c>
      <c r="L40" s="521">
        <f t="shared" si="18"/>
        <v>0</v>
      </c>
      <c r="M40" s="380"/>
      <c r="N40" s="528"/>
      <c r="O40" s="380">
        <f t="shared" si="19"/>
        <v>0</v>
      </c>
      <c r="P40" s="522">
        <f t="shared" si="20"/>
        <v>0</v>
      </c>
      <c r="Q40" s="1219">
        <v>0</v>
      </c>
      <c r="R40" s="1219"/>
      <c r="S40" s="1219">
        <v>0</v>
      </c>
      <c r="T40" s="509">
        <f t="shared" si="23"/>
        <v>0</v>
      </c>
      <c r="U40" s="130">
        <f t="shared" si="24"/>
        <v>0</v>
      </c>
      <c r="V40" s="134">
        <f t="shared" si="25"/>
        <v>0</v>
      </c>
      <c r="W40" s="134">
        <f t="shared" si="26"/>
        <v>0</v>
      </c>
      <c r="X40" s="277">
        <f t="shared" si="27"/>
        <v>0</v>
      </c>
      <c r="Y40" s="270">
        <f t="shared" si="28"/>
        <v>0</v>
      </c>
      <c r="Z40" s="270">
        <f t="shared" si="29"/>
        <v>0</v>
      </c>
      <c r="AA40" s="515">
        <f t="shared" si="30"/>
        <v>0</v>
      </c>
      <c r="AB40" s="669"/>
      <c r="AC40" s="675"/>
      <c r="AD40" s="676"/>
      <c r="AE40" s="676"/>
    </row>
    <row r="41" spans="1:31" ht="18.75">
      <c r="A41" s="76" t="s">
        <v>48</v>
      </c>
      <c r="B41" s="157">
        <f t="shared" si="16"/>
        <v>348111.74000000017</v>
      </c>
      <c r="C41" s="1216">
        <v>81567.19</v>
      </c>
      <c r="D41" s="525"/>
      <c r="E41" s="525"/>
      <c r="F41" s="525">
        <v>67609.03</v>
      </c>
      <c r="G41" s="526">
        <f t="shared" si="21"/>
        <v>362069.90000000014</v>
      </c>
      <c r="H41" s="946">
        <f t="shared" si="17"/>
        <v>23517.68999999999</v>
      </c>
      <c r="I41" s="1210">
        <v>1241.79</v>
      </c>
      <c r="J41" s="527"/>
      <c r="K41" s="520">
        <f t="shared" si="22"/>
        <v>24759.479999999992</v>
      </c>
      <c r="L41" s="521">
        <f t="shared" si="18"/>
        <v>-1895.8799999999992</v>
      </c>
      <c r="M41" s="380">
        <v>2139.04</v>
      </c>
      <c r="N41" s="528"/>
      <c r="O41" s="380">
        <f t="shared" si="19"/>
        <v>243.16000000000076</v>
      </c>
      <c r="P41" s="522">
        <f t="shared" si="20"/>
        <v>-2435.6799999999994</v>
      </c>
      <c r="Q41" s="1219">
        <v>104.2</v>
      </c>
      <c r="R41" s="1219"/>
      <c r="S41" s="1219">
        <v>98.86</v>
      </c>
      <c r="T41" s="509">
        <f t="shared" si="23"/>
        <v>-2430.3399999999997</v>
      </c>
      <c r="U41" s="130">
        <f t="shared" si="24"/>
        <v>98.86</v>
      </c>
      <c r="V41" s="134">
        <f t="shared" si="25"/>
        <v>0</v>
      </c>
      <c r="W41" s="134">
        <f t="shared" si="26"/>
        <v>0</v>
      </c>
      <c r="X41" s="277">
        <f t="shared" si="27"/>
        <v>98.86</v>
      </c>
      <c r="Y41" s="270">
        <f t="shared" si="28"/>
        <v>85052.21999999999</v>
      </c>
      <c r="Z41" s="270">
        <f t="shared" si="29"/>
        <v>67707.89</v>
      </c>
      <c r="AA41" s="515">
        <f t="shared" si="30"/>
        <v>67707.89</v>
      </c>
      <c r="AB41" s="669"/>
      <c r="AC41" s="675"/>
      <c r="AD41" s="676"/>
      <c r="AE41" s="676"/>
    </row>
    <row r="42" spans="1:31" ht="18.75">
      <c r="A42" s="332" t="s">
        <v>9</v>
      </c>
      <c r="B42" s="157">
        <f t="shared" si="16"/>
        <v>119519.3200000001</v>
      </c>
      <c r="C42" s="1216">
        <v>20363.74</v>
      </c>
      <c r="D42" s="525"/>
      <c r="E42" s="525"/>
      <c r="F42" s="525">
        <v>15474.84</v>
      </c>
      <c r="G42" s="526">
        <f t="shared" si="21"/>
        <v>124408.22000000009</v>
      </c>
      <c r="H42" s="946">
        <f t="shared" si="17"/>
        <v>27699.92</v>
      </c>
      <c r="I42" s="1210">
        <v>1436.8300000000002</v>
      </c>
      <c r="J42" s="527"/>
      <c r="K42" s="520">
        <f t="shared" si="22"/>
        <v>29136.75</v>
      </c>
      <c r="L42" s="521">
        <f t="shared" si="18"/>
        <v>0</v>
      </c>
      <c r="M42" s="380"/>
      <c r="N42" s="528"/>
      <c r="O42" s="380">
        <f t="shared" si="19"/>
        <v>0</v>
      </c>
      <c r="P42" s="522">
        <f t="shared" si="20"/>
        <v>111.83999999999989</v>
      </c>
      <c r="Q42" s="1219">
        <v>8.18</v>
      </c>
      <c r="R42" s="1219"/>
      <c r="S42" s="1219">
        <v>5.84</v>
      </c>
      <c r="T42" s="509">
        <f t="shared" si="23"/>
        <v>114.1799999999999</v>
      </c>
      <c r="U42" s="130">
        <f t="shared" si="24"/>
        <v>5.84</v>
      </c>
      <c r="V42" s="134">
        <f t="shared" si="25"/>
        <v>0</v>
      </c>
      <c r="W42" s="134">
        <f t="shared" si="26"/>
        <v>0</v>
      </c>
      <c r="X42" s="277">
        <f t="shared" si="27"/>
        <v>5.84</v>
      </c>
      <c r="Y42" s="270">
        <f t="shared" si="28"/>
        <v>21808.750000000004</v>
      </c>
      <c r="Z42" s="270">
        <f t="shared" si="29"/>
        <v>15480.68</v>
      </c>
      <c r="AA42" s="515">
        <f t="shared" si="30"/>
        <v>15480.68</v>
      </c>
      <c r="AB42" s="669"/>
      <c r="AC42" s="675"/>
      <c r="AD42" s="676"/>
      <c r="AE42" s="676"/>
    </row>
    <row r="43" spans="1:31" ht="18.75">
      <c r="A43" s="332" t="s">
        <v>10</v>
      </c>
      <c r="B43" s="157">
        <f t="shared" si="16"/>
        <v>7659.3500000000895</v>
      </c>
      <c r="C43" s="1217">
        <v>8796.01</v>
      </c>
      <c r="D43" s="526"/>
      <c r="E43" s="526"/>
      <c r="F43" s="526">
        <v>7123.57</v>
      </c>
      <c r="G43" s="526">
        <f t="shared" si="21"/>
        <v>9331.790000000088</v>
      </c>
      <c r="H43" s="946">
        <f t="shared" si="17"/>
        <v>0</v>
      </c>
      <c r="I43" s="1210"/>
      <c r="J43" s="527"/>
      <c r="K43" s="520">
        <f t="shared" si="22"/>
        <v>0</v>
      </c>
      <c r="L43" s="521">
        <f t="shared" si="18"/>
        <v>0</v>
      </c>
      <c r="M43" s="380"/>
      <c r="N43" s="528"/>
      <c r="O43" s="380">
        <f t="shared" si="19"/>
        <v>0</v>
      </c>
      <c r="P43" s="522">
        <f t="shared" si="20"/>
        <v>0.779999999999994</v>
      </c>
      <c r="Q43" s="1219"/>
      <c r="R43" s="1219"/>
      <c r="S43" s="1219"/>
      <c r="T43" s="509">
        <f t="shared" si="23"/>
        <v>0.779999999999994</v>
      </c>
      <c r="U43" s="130">
        <f t="shared" si="24"/>
        <v>0</v>
      </c>
      <c r="V43" s="134">
        <f t="shared" si="25"/>
        <v>0</v>
      </c>
      <c r="W43" s="134">
        <f t="shared" si="26"/>
        <v>0</v>
      </c>
      <c r="X43" s="277">
        <f t="shared" si="27"/>
        <v>0</v>
      </c>
      <c r="Y43" s="270">
        <f t="shared" si="28"/>
        <v>8796.01</v>
      </c>
      <c r="Z43" s="270">
        <f t="shared" si="29"/>
        <v>7123.57</v>
      </c>
      <c r="AA43" s="515">
        <f t="shared" si="30"/>
        <v>7123.57</v>
      </c>
      <c r="AB43" s="669"/>
      <c r="AC43" s="675"/>
      <c r="AD43" s="676"/>
      <c r="AE43" s="676"/>
    </row>
    <row r="44" spans="1:31" ht="18.75">
      <c r="A44" s="332" t="s">
        <v>11</v>
      </c>
      <c r="B44" s="157">
        <f t="shared" si="16"/>
        <v>7106.7100000000355</v>
      </c>
      <c r="C44" s="1217">
        <v>8764.88</v>
      </c>
      <c r="D44" s="526"/>
      <c r="E44" s="526"/>
      <c r="F44" s="526">
        <v>7335.01</v>
      </c>
      <c r="G44" s="526">
        <f t="shared" si="21"/>
        <v>8536.580000000034</v>
      </c>
      <c r="H44" s="946">
        <f t="shared" si="17"/>
        <v>0</v>
      </c>
      <c r="I44" s="1210"/>
      <c r="J44" s="527"/>
      <c r="K44" s="520">
        <f t="shared" si="22"/>
        <v>0</v>
      </c>
      <c r="L44" s="521">
        <f t="shared" si="18"/>
        <v>0</v>
      </c>
      <c r="M44" s="380"/>
      <c r="N44" s="528"/>
      <c r="O44" s="380">
        <f t="shared" si="19"/>
        <v>0</v>
      </c>
      <c r="P44" s="522">
        <f t="shared" si="20"/>
        <v>89.53</v>
      </c>
      <c r="Q44" s="1219">
        <v>0.09</v>
      </c>
      <c r="R44" s="1219"/>
      <c r="S44" s="1219">
        <v>0.09</v>
      </c>
      <c r="T44" s="509">
        <f t="shared" si="23"/>
        <v>89.53</v>
      </c>
      <c r="U44" s="130">
        <f t="shared" si="24"/>
        <v>0.09</v>
      </c>
      <c r="V44" s="134">
        <f t="shared" si="25"/>
        <v>0</v>
      </c>
      <c r="W44" s="134">
        <f t="shared" si="26"/>
        <v>0</v>
      </c>
      <c r="X44" s="277">
        <f t="shared" si="27"/>
        <v>0.09</v>
      </c>
      <c r="Y44" s="270">
        <f t="shared" si="28"/>
        <v>8764.97</v>
      </c>
      <c r="Z44" s="270">
        <f t="shared" si="29"/>
        <v>7335.1</v>
      </c>
      <c r="AA44" s="515">
        <f t="shared" si="30"/>
        <v>7335.1</v>
      </c>
      <c r="AB44" s="669"/>
      <c r="AC44" s="675"/>
      <c r="AD44" s="676"/>
      <c r="AE44" s="676"/>
    </row>
    <row r="45" spans="1:31" ht="18.75">
      <c r="A45" s="332" t="s">
        <v>12</v>
      </c>
      <c r="B45" s="157">
        <f t="shared" si="16"/>
        <v>75899.09000000023</v>
      </c>
      <c r="C45" s="1217">
        <v>50179.17</v>
      </c>
      <c r="D45" s="526"/>
      <c r="E45" s="526"/>
      <c r="F45" s="526">
        <v>39507.02</v>
      </c>
      <c r="G45" s="526">
        <f t="shared" si="21"/>
        <v>86571.24000000022</v>
      </c>
      <c r="H45" s="946">
        <f t="shared" si="17"/>
        <v>6724.639999999996</v>
      </c>
      <c r="I45" s="1210">
        <v>517.28</v>
      </c>
      <c r="J45" s="527"/>
      <c r="K45" s="520">
        <f t="shared" si="22"/>
        <v>7241.9199999999955</v>
      </c>
      <c r="L45" s="521">
        <f t="shared" si="18"/>
        <v>1508.3999999999987</v>
      </c>
      <c r="M45" s="380">
        <v>1722.24</v>
      </c>
      <c r="N45" s="528">
        <v>1722.24</v>
      </c>
      <c r="O45" s="380">
        <f t="shared" si="19"/>
        <v>1508.3999999999985</v>
      </c>
      <c r="P45" s="522">
        <f t="shared" si="20"/>
        <v>373.47</v>
      </c>
      <c r="Q45" s="1219">
        <v>39.97</v>
      </c>
      <c r="R45" s="1219"/>
      <c r="S45" s="1219">
        <v>30.31</v>
      </c>
      <c r="T45" s="509">
        <f t="shared" si="23"/>
        <v>383.13000000000005</v>
      </c>
      <c r="U45" s="130">
        <f t="shared" si="24"/>
        <v>30.31</v>
      </c>
      <c r="V45" s="134">
        <f t="shared" si="25"/>
        <v>1722.24</v>
      </c>
      <c r="W45" s="134">
        <f t="shared" si="26"/>
        <v>0</v>
      </c>
      <c r="X45" s="277">
        <f t="shared" si="27"/>
        <v>1752.55</v>
      </c>
      <c r="Y45" s="270">
        <f t="shared" si="28"/>
        <v>52458.659999999996</v>
      </c>
      <c r="Z45" s="270">
        <f t="shared" si="29"/>
        <v>41259.56999999999</v>
      </c>
      <c r="AA45" s="515">
        <f t="shared" si="30"/>
        <v>39537.329999999994</v>
      </c>
      <c r="AB45" s="669"/>
      <c r="AC45" s="675"/>
      <c r="AD45" s="676"/>
      <c r="AE45" s="676"/>
    </row>
    <row r="46" spans="1:31" ht="18.75">
      <c r="A46" s="332" t="s">
        <v>13</v>
      </c>
      <c r="B46" s="157">
        <f t="shared" si="16"/>
        <v>53865.190000000046</v>
      </c>
      <c r="C46" s="1217">
        <v>29644.07</v>
      </c>
      <c r="D46" s="526"/>
      <c r="E46" s="526"/>
      <c r="F46" s="526">
        <v>26739.71</v>
      </c>
      <c r="G46" s="526">
        <f t="shared" si="21"/>
        <v>56769.55000000004</v>
      </c>
      <c r="H46" s="946">
        <f t="shared" si="17"/>
        <v>2441.179999999999</v>
      </c>
      <c r="I46" s="1210">
        <v>174.37</v>
      </c>
      <c r="J46" s="527"/>
      <c r="K46" s="520">
        <f t="shared" si="22"/>
        <v>2615.549999999999</v>
      </c>
      <c r="L46" s="521">
        <f t="shared" si="18"/>
        <v>-2290.02</v>
      </c>
      <c r="M46" s="380">
        <v>727.77</v>
      </c>
      <c r="N46" s="528">
        <v>727.77</v>
      </c>
      <c r="O46" s="380">
        <f t="shared" si="19"/>
        <v>-2290.02</v>
      </c>
      <c r="P46" s="522">
        <f t="shared" si="20"/>
        <v>75.28</v>
      </c>
      <c r="Q46" s="1219">
        <v>34.52</v>
      </c>
      <c r="R46" s="1219"/>
      <c r="S46" s="1219">
        <v>51.85</v>
      </c>
      <c r="T46" s="509">
        <f t="shared" si="23"/>
        <v>57.95000000000001</v>
      </c>
      <c r="U46" s="130">
        <f t="shared" si="24"/>
        <v>51.85</v>
      </c>
      <c r="V46" s="134">
        <f t="shared" si="25"/>
        <v>727.77</v>
      </c>
      <c r="W46" s="134">
        <f t="shared" si="26"/>
        <v>0</v>
      </c>
      <c r="X46" s="277">
        <f t="shared" si="27"/>
        <v>779.62</v>
      </c>
      <c r="Y46" s="270">
        <f t="shared" si="28"/>
        <v>30580.73</v>
      </c>
      <c r="Z46" s="270">
        <f t="shared" si="29"/>
        <v>27519.329999999998</v>
      </c>
      <c r="AA46" s="515">
        <f t="shared" si="30"/>
        <v>26791.559999999998</v>
      </c>
      <c r="AB46" s="669"/>
      <c r="AC46" s="675"/>
      <c r="AD46" s="676"/>
      <c r="AE46" s="676"/>
    </row>
    <row r="47" spans="1:31" ht="18.75">
      <c r="A47" s="332" t="s">
        <v>14</v>
      </c>
      <c r="B47" s="157">
        <f t="shared" si="16"/>
        <v>57351.680000000066</v>
      </c>
      <c r="C47" s="1217">
        <v>36574.19</v>
      </c>
      <c r="D47" s="526"/>
      <c r="E47" s="526"/>
      <c r="F47" s="526">
        <v>28927.87</v>
      </c>
      <c r="G47" s="526">
        <f t="shared" si="21"/>
        <v>64998.00000000007</v>
      </c>
      <c r="H47" s="946">
        <f t="shared" si="17"/>
        <v>3945.3199999999997</v>
      </c>
      <c r="I47" s="1210"/>
      <c r="J47" s="527"/>
      <c r="K47" s="520">
        <f t="shared" si="22"/>
        <v>3945.3199999999997</v>
      </c>
      <c r="L47" s="521">
        <f t="shared" si="18"/>
        <v>3558.7799999999993</v>
      </c>
      <c r="M47" s="380">
        <v>2926</v>
      </c>
      <c r="N47" s="528">
        <v>1545.23</v>
      </c>
      <c r="O47" s="380">
        <f t="shared" si="19"/>
        <v>4939.549999999999</v>
      </c>
      <c r="P47" s="522">
        <f t="shared" si="20"/>
        <v>-423.08000000000004</v>
      </c>
      <c r="Q47" s="1219">
        <v>123.38</v>
      </c>
      <c r="R47" s="1219"/>
      <c r="S47" s="1219">
        <v>0</v>
      </c>
      <c r="T47" s="509">
        <f t="shared" si="23"/>
        <v>-299.70000000000005</v>
      </c>
      <c r="U47" s="130">
        <f t="shared" si="24"/>
        <v>0</v>
      </c>
      <c r="V47" s="134">
        <f t="shared" si="25"/>
        <v>1545.23</v>
      </c>
      <c r="W47" s="134">
        <f t="shared" si="26"/>
        <v>0</v>
      </c>
      <c r="X47" s="277">
        <f t="shared" si="27"/>
        <v>1545.23</v>
      </c>
      <c r="Y47" s="270">
        <f t="shared" si="28"/>
        <v>39623.57</v>
      </c>
      <c r="Z47" s="270">
        <f t="shared" si="29"/>
        <v>30473.1</v>
      </c>
      <c r="AA47" s="515">
        <f t="shared" si="30"/>
        <v>28927.87</v>
      </c>
      <c r="AB47" s="669"/>
      <c r="AC47" s="675"/>
      <c r="AD47" s="676"/>
      <c r="AE47" s="676"/>
    </row>
    <row r="48" spans="1:31" ht="18.75">
      <c r="A48" s="332" t="s">
        <v>55</v>
      </c>
      <c r="B48" s="157">
        <f t="shared" si="16"/>
        <v>40672.59</v>
      </c>
      <c r="C48" s="1217">
        <v>16293.14</v>
      </c>
      <c r="D48" s="526"/>
      <c r="E48" s="526"/>
      <c r="F48" s="526">
        <v>19399.38</v>
      </c>
      <c r="G48" s="526">
        <f t="shared" si="21"/>
        <v>37566.34999999999</v>
      </c>
      <c r="H48" s="946">
        <f t="shared" si="17"/>
        <v>2411.5</v>
      </c>
      <c r="I48" s="1210">
        <v>185.5</v>
      </c>
      <c r="J48" s="527"/>
      <c r="K48" s="520">
        <f t="shared" si="22"/>
        <v>2597</v>
      </c>
      <c r="L48" s="521">
        <f t="shared" si="18"/>
        <v>1488.8900000000021</v>
      </c>
      <c r="M48" s="380">
        <v>773.21</v>
      </c>
      <c r="N48" s="528">
        <v>1193.6</v>
      </c>
      <c r="O48" s="380">
        <f t="shared" si="19"/>
        <v>1068.5000000000023</v>
      </c>
      <c r="P48" s="522">
        <f t="shared" si="20"/>
        <v>-84.25999999999999</v>
      </c>
      <c r="Q48" s="1219">
        <v>24.67</v>
      </c>
      <c r="R48" s="1219"/>
      <c r="S48" s="1219">
        <f>24.67+679.61</f>
        <v>704.28</v>
      </c>
      <c r="T48" s="509">
        <f t="shared" si="23"/>
        <v>-763.87</v>
      </c>
      <c r="U48" s="130">
        <f t="shared" si="24"/>
        <v>704.28</v>
      </c>
      <c r="V48" s="134">
        <f t="shared" si="25"/>
        <v>1193.6</v>
      </c>
      <c r="W48" s="134">
        <f t="shared" si="26"/>
        <v>0</v>
      </c>
      <c r="X48" s="277">
        <f t="shared" si="27"/>
        <v>1897.8799999999999</v>
      </c>
      <c r="Y48" s="270">
        <f t="shared" si="28"/>
        <v>17276.519999999997</v>
      </c>
      <c r="Z48" s="270">
        <f t="shared" si="29"/>
        <v>21297.26</v>
      </c>
      <c r="AA48" s="515">
        <f t="shared" si="30"/>
        <v>20103.66</v>
      </c>
      <c r="AB48" s="669"/>
      <c r="AC48" s="675"/>
      <c r="AD48" s="676"/>
      <c r="AE48" s="676"/>
    </row>
    <row r="49" spans="1:31" ht="18.75">
      <c r="A49" s="332" t="s">
        <v>15</v>
      </c>
      <c r="B49" s="157">
        <f t="shared" si="16"/>
        <v>107123.59000000032</v>
      </c>
      <c r="C49" s="1217">
        <v>39158.89</v>
      </c>
      <c r="D49" s="526"/>
      <c r="E49" s="526"/>
      <c r="F49" s="526">
        <v>27480.55</v>
      </c>
      <c r="G49" s="526">
        <f t="shared" si="21"/>
        <v>118801.93000000033</v>
      </c>
      <c r="H49" s="946">
        <f t="shared" si="17"/>
        <v>0</v>
      </c>
      <c r="I49" s="1210"/>
      <c r="J49" s="527"/>
      <c r="K49" s="520">
        <f t="shared" si="22"/>
        <v>0</v>
      </c>
      <c r="L49" s="521">
        <f t="shared" si="18"/>
        <v>-2497.36</v>
      </c>
      <c r="M49" s="380">
        <v>2209.01</v>
      </c>
      <c r="N49" s="528"/>
      <c r="O49" s="380">
        <f t="shared" si="19"/>
        <v>-288.3499999999999</v>
      </c>
      <c r="P49" s="522">
        <f t="shared" si="20"/>
        <v>445.75999999999976</v>
      </c>
      <c r="Q49" s="1219">
        <v>27.22</v>
      </c>
      <c r="R49" s="1219"/>
      <c r="S49" s="1219">
        <v>18.3</v>
      </c>
      <c r="T49" s="509">
        <f t="shared" si="23"/>
        <v>454.6799999999998</v>
      </c>
      <c r="U49" s="130">
        <f t="shared" si="24"/>
        <v>18.3</v>
      </c>
      <c r="V49" s="134">
        <f t="shared" si="25"/>
        <v>0</v>
      </c>
      <c r="W49" s="134">
        <f t="shared" si="26"/>
        <v>0</v>
      </c>
      <c r="X49" s="277">
        <f t="shared" si="27"/>
        <v>18.3</v>
      </c>
      <c r="Y49" s="270">
        <f t="shared" si="28"/>
        <v>41395.12</v>
      </c>
      <c r="Z49" s="270">
        <f t="shared" si="29"/>
        <v>27498.85</v>
      </c>
      <c r="AA49" s="515">
        <f t="shared" si="30"/>
        <v>27498.85</v>
      </c>
      <c r="AB49" s="669"/>
      <c r="AC49" s="675"/>
      <c r="AD49" s="676"/>
      <c r="AE49" s="676"/>
    </row>
    <row r="50" spans="1:31" ht="18.75">
      <c r="A50" s="332" t="s">
        <v>16</v>
      </c>
      <c r="B50" s="157">
        <f t="shared" si="16"/>
        <v>29099.450000000077</v>
      </c>
      <c r="C50" s="1217">
        <v>31868.05</v>
      </c>
      <c r="D50" s="526"/>
      <c r="E50" s="526"/>
      <c r="F50" s="526">
        <v>23131.74</v>
      </c>
      <c r="G50" s="526">
        <f t="shared" si="21"/>
        <v>37835.76000000007</v>
      </c>
      <c r="H50" s="946">
        <f t="shared" si="17"/>
        <v>0</v>
      </c>
      <c r="I50" s="1210"/>
      <c r="J50" s="527"/>
      <c r="K50" s="520">
        <f t="shared" si="22"/>
        <v>0</v>
      </c>
      <c r="L50" s="521">
        <f t="shared" si="18"/>
        <v>1163.880000000002</v>
      </c>
      <c r="M50" s="380">
        <v>328.3</v>
      </c>
      <c r="N50" s="528"/>
      <c r="O50" s="380">
        <f t="shared" si="19"/>
        <v>1492.1800000000019</v>
      </c>
      <c r="P50" s="522">
        <f t="shared" si="20"/>
        <v>81.15999999999998</v>
      </c>
      <c r="Q50" s="1219">
        <v>0.4</v>
      </c>
      <c r="R50" s="1219"/>
      <c r="S50" s="1219">
        <v>0.4</v>
      </c>
      <c r="T50" s="509">
        <f t="shared" si="23"/>
        <v>81.15999999999998</v>
      </c>
      <c r="U50" s="130">
        <f t="shared" si="24"/>
        <v>0.4</v>
      </c>
      <c r="V50" s="134">
        <f t="shared" si="25"/>
        <v>0</v>
      </c>
      <c r="W50" s="134">
        <f t="shared" si="26"/>
        <v>0</v>
      </c>
      <c r="X50" s="277">
        <f t="shared" si="27"/>
        <v>0.4</v>
      </c>
      <c r="Y50" s="270">
        <f t="shared" si="28"/>
        <v>32196.75</v>
      </c>
      <c r="Z50" s="270">
        <f t="shared" si="29"/>
        <v>23132.140000000003</v>
      </c>
      <c r="AA50" s="515">
        <f t="shared" si="30"/>
        <v>23132.140000000003</v>
      </c>
      <c r="AB50" s="669"/>
      <c r="AC50" s="675"/>
      <c r="AD50" s="676"/>
      <c r="AE50" s="676"/>
    </row>
    <row r="51" spans="1:31" ht="18.75">
      <c r="A51" s="73" t="s">
        <v>17</v>
      </c>
      <c r="B51" s="157">
        <f t="shared" si="16"/>
        <v>52512.350000000304</v>
      </c>
      <c r="C51" s="1217">
        <v>41492.76</v>
      </c>
      <c r="D51" s="526"/>
      <c r="E51" s="526"/>
      <c r="F51" s="526">
        <v>34102.05</v>
      </c>
      <c r="G51" s="526">
        <f t="shared" si="21"/>
        <v>59903.0600000003</v>
      </c>
      <c r="H51" s="946">
        <f t="shared" si="17"/>
        <v>4788.550000000001</v>
      </c>
      <c r="I51" s="1210">
        <v>368.35</v>
      </c>
      <c r="J51" s="527"/>
      <c r="K51" s="520">
        <f t="shared" si="22"/>
        <v>5156.9000000000015</v>
      </c>
      <c r="L51" s="521">
        <f t="shared" si="18"/>
        <v>619.5699999999998</v>
      </c>
      <c r="M51" s="380">
        <v>699.06</v>
      </c>
      <c r="N51" s="528">
        <v>1398.12</v>
      </c>
      <c r="O51" s="380">
        <f t="shared" si="19"/>
        <v>-79.49000000000024</v>
      </c>
      <c r="P51" s="522">
        <f t="shared" si="20"/>
        <v>35.12000000000003</v>
      </c>
      <c r="Q51" s="1219">
        <v>21.05</v>
      </c>
      <c r="R51" s="1219"/>
      <c r="S51" s="1219">
        <v>0</v>
      </c>
      <c r="T51" s="509">
        <f t="shared" si="23"/>
        <v>56.17000000000003</v>
      </c>
      <c r="U51" s="130">
        <f t="shared" si="24"/>
        <v>0</v>
      </c>
      <c r="V51" s="134">
        <f t="shared" si="25"/>
        <v>1398.12</v>
      </c>
      <c r="W51" s="134">
        <f t="shared" si="26"/>
        <v>0</v>
      </c>
      <c r="X51" s="277">
        <f t="shared" si="27"/>
        <v>1398.12</v>
      </c>
      <c r="Y51" s="270">
        <f t="shared" si="28"/>
        <v>42581.22</v>
      </c>
      <c r="Z51" s="270">
        <f t="shared" si="29"/>
        <v>35500.170000000006</v>
      </c>
      <c r="AA51" s="515">
        <f t="shared" si="30"/>
        <v>34102.05</v>
      </c>
      <c r="AB51" s="669"/>
      <c r="AC51" s="675"/>
      <c r="AD51" s="676"/>
      <c r="AE51" s="676"/>
    </row>
    <row r="52" spans="1:31" ht="18.75">
      <c r="A52" s="73" t="s">
        <v>18</v>
      </c>
      <c r="B52" s="157">
        <f t="shared" si="16"/>
        <v>157801.8100000001</v>
      </c>
      <c r="C52" s="1217">
        <v>88445.42</v>
      </c>
      <c r="D52" s="526"/>
      <c r="E52" s="526"/>
      <c r="F52" s="526">
        <v>70177.33</v>
      </c>
      <c r="G52" s="526">
        <f t="shared" si="21"/>
        <v>176069.90000000008</v>
      </c>
      <c r="H52" s="946">
        <f t="shared" si="17"/>
        <v>840.0499999999986</v>
      </c>
      <c r="I52" s="1210"/>
      <c r="J52" s="527"/>
      <c r="K52" s="520">
        <f t="shared" si="22"/>
        <v>840.0499999999986</v>
      </c>
      <c r="L52" s="521">
        <f t="shared" si="18"/>
        <v>-686.3500000000004</v>
      </c>
      <c r="M52" s="380">
        <v>2504.43</v>
      </c>
      <c r="N52" s="528"/>
      <c r="O52" s="380">
        <f t="shared" si="19"/>
        <v>1818.0799999999995</v>
      </c>
      <c r="P52" s="522">
        <f t="shared" si="20"/>
        <v>410.4100000000002</v>
      </c>
      <c r="Q52" s="1219">
        <v>189.45</v>
      </c>
      <c r="R52" s="1219"/>
      <c r="S52" s="1219">
        <v>77.58</v>
      </c>
      <c r="T52" s="509">
        <f t="shared" si="23"/>
        <v>522.2800000000001</v>
      </c>
      <c r="U52" s="130">
        <f t="shared" si="24"/>
        <v>77.58</v>
      </c>
      <c r="V52" s="134">
        <f t="shared" si="25"/>
        <v>0</v>
      </c>
      <c r="W52" s="134">
        <f t="shared" si="26"/>
        <v>0</v>
      </c>
      <c r="X52" s="277">
        <f t="shared" si="27"/>
        <v>77.58</v>
      </c>
      <c r="Y52" s="270">
        <f t="shared" si="28"/>
        <v>91139.29999999999</v>
      </c>
      <c r="Z52" s="270">
        <f t="shared" si="29"/>
        <v>70254.91</v>
      </c>
      <c r="AA52" s="515">
        <f t="shared" si="30"/>
        <v>70254.91</v>
      </c>
      <c r="AB52" s="669"/>
      <c r="AC52" s="675"/>
      <c r="AD52" s="676"/>
      <c r="AE52" s="676"/>
    </row>
    <row r="53" spans="1:31" ht="18.75">
      <c r="A53" s="166" t="s">
        <v>54</v>
      </c>
      <c r="B53" s="157">
        <f t="shared" si="16"/>
        <v>49762.600000000355</v>
      </c>
      <c r="C53" s="1217">
        <v>37931.1</v>
      </c>
      <c r="D53" s="526"/>
      <c r="E53" s="526"/>
      <c r="F53" s="526">
        <v>29810.96</v>
      </c>
      <c r="G53" s="526">
        <f t="shared" si="21"/>
        <v>57882.74000000036</v>
      </c>
      <c r="H53" s="946">
        <f t="shared" si="17"/>
        <v>4305.600000000003</v>
      </c>
      <c r="I53" s="1210">
        <v>261.82</v>
      </c>
      <c r="J53" s="527"/>
      <c r="K53" s="520">
        <f t="shared" si="22"/>
        <v>4567.420000000003</v>
      </c>
      <c r="L53" s="521">
        <f t="shared" si="18"/>
        <v>0</v>
      </c>
      <c r="M53" s="380"/>
      <c r="N53" s="528"/>
      <c r="O53" s="380">
        <f t="shared" si="19"/>
        <v>0</v>
      </c>
      <c r="P53" s="522">
        <f t="shared" si="20"/>
        <v>-1073.9</v>
      </c>
      <c r="Q53" s="1219">
        <v>29.71</v>
      </c>
      <c r="R53" s="1219"/>
      <c r="S53" s="1219">
        <v>30.34</v>
      </c>
      <c r="T53" s="509">
        <f t="shared" si="23"/>
        <v>-1074.53</v>
      </c>
      <c r="U53" s="130">
        <f t="shared" si="24"/>
        <v>30.34</v>
      </c>
      <c r="V53" s="134">
        <f t="shared" si="25"/>
        <v>0</v>
      </c>
      <c r="W53" s="134">
        <f t="shared" si="26"/>
        <v>0</v>
      </c>
      <c r="X53" s="277">
        <f t="shared" si="27"/>
        <v>30.34</v>
      </c>
      <c r="Y53" s="270">
        <f t="shared" si="28"/>
        <v>38222.63</v>
      </c>
      <c r="Z53" s="270">
        <f t="shared" si="29"/>
        <v>29841.3</v>
      </c>
      <c r="AA53" s="515">
        <f t="shared" si="30"/>
        <v>29841.3</v>
      </c>
      <c r="AB53" s="669"/>
      <c r="AC53" s="675"/>
      <c r="AD53" s="676"/>
      <c r="AE53" s="676"/>
    </row>
    <row r="54" spans="1:31" ht="18.75">
      <c r="A54" s="166" t="s">
        <v>49</v>
      </c>
      <c r="B54" s="157">
        <f t="shared" si="16"/>
        <v>187631.77000000016</v>
      </c>
      <c r="C54" s="1217">
        <v>80664.83</v>
      </c>
      <c r="D54" s="526"/>
      <c r="E54" s="526"/>
      <c r="F54" s="526">
        <v>68788.88</v>
      </c>
      <c r="G54" s="526">
        <f t="shared" si="21"/>
        <v>199507.72000000015</v>
      </c>
      <c r="H54" s="946">
        <f t="shared" si="17"/>
        <v>10624.380000000001</v>
      </c>
      <c r="I54" s="1210">
        <v>817.26</v>
      </c>
      <c r="J54" s="527"/>
      <c r="K54" s="520">
        <f t="shared" si="22"/>
        <v>11441.640000000001</v>
      </c>
      <c r="L54" s="521">
        <f t="shared" si="18"/>
        <v>2721.660000000003</v>
      </c>
      <c r="M54" s="380">
        <v>4017.96</v>
      </c>
      <c r="N54" s="528">
        <v>2536.72</v>
      </c>
      <c r="O54" s="380">
        <f t="shared" si="19"/>
        <v>4202.900000000003</v>
      </c>
      <c r="P54" s="522">
        <f t="shared" si="20"/>
        <v>-831.8000000000001</v>
      </c>
      <c r="Q54" s="1219">
        <v>15.54</v>
      </c>
      <c r="R54" s="1219"/>
      <c r="S54" s="1219">
        <v>14.99</v>
      </c>
      <c r="T54" s="509">
        <f t="shared" si="23"/>
        <v>-831.2500000000001</v>
      </c>
      <c r="U54" s="130">
        <f t="shared" si="24"/>
        <v>14.99</v>
      </c>
      <c r="V54" s="134">
        <f t="shared" si="25"/>
        <v>2536.72</v>
      </c>
      <c r="W54" s="134">
        <f t="shared" si="26"/>
        <v>0</v>
      </c>
      <c r="X54" s="277">
        <f t="shared" si="27"/>
        <v>2551.7099999999996</v>
      </c>
      <c r="Y54" s="270">
        <f t="shared" si="28"/>
        <v>85515.59</v>
      </c>
      <c r="Z54" s="270">
        <f t="shared" si="29"/>
        <v>71340.59000000001</v>
      </c>
      <c r="AA54" s="515">
        <f t="shared" si="30"/>
        <v>68803.87000000001</v>
      </c>
      <c r="AB54" s="669"/>
      <c r="AC54" s="675"/>
      <c r="AD54" s="675"/>
      <c r="AE54" s="676"/>
    </row>
    <row r="55" spans="1:31" ht="18.75">
      <c r="A55" s="166" t="s">
        <v>19</v>
      </c>
      <c r="B55" s="157">
        <f t="shared" si="16"/>
        <v>81541.29999999996</v>
      </c>
      <c r="C55" s="1217">
        <v>59520.69</v>
      </c>
      <c r="D55" s="526"/>
      <c r="E55" s="526"/>
      <c r="F55" s="526">
        <v>49295.79</v>
      </c>
      <c r="G55" s="526">
        <f t="shared" si="21"/>
        <v>91766.19999999995</v>
      </c>
      <c r="H55" s="946">
        <f t="shared" si="17"/>
        <v>5042.539999999998</v>
      </c>
      <c r="I55" s="1210">
        <v>356.69</v>
      </c>
      <c r="J55" s="527"/>
      <c r="K55" s="520">
        <f t="shared" si="22"/>
        <v>5399.229999999998</v>
      </c>
      <c r="L55" s="521">
        <f t="shared" si="18"/>
        <v>727.1800000000007</v>
      </c>
      <c r="M55" s="380">
        <v>1175.67</v>
      </c>
      <c r="N55" s="528"/>
      <c r="O55" s="380">
        <f t="shared" si="19"/>
        <v>1902.8500000000008</v>
      </c>
      <c r="P55" s="522">
        <f t="shared" si="20"/>
        <v>305.0200000000003</v>
      </c>
      <c r="Q55" s="1219">
        <v>147.81</v>
      </c>
      <c r="R55" s="1219"/>
      <c r="S55" s="1219">
        <v>105.39</v>
      </c>
      <c r="T55" s="509">
        <f t="shared" si="23"/>
        <v>347.44000000000034</v>
      </c>
      <c r="U55" s="130">
        <f t="shared" si="24"/>
        <v>105.39</v>
      </c>
      <c r="V55" s="134">
        <f t="shared" si="25"/>
        <v>0</v>
      </c>
      <c r="W55" s="134">
        <f t="shared" si="26"/>
        <v>0</v>
      </c>
      <c r="X55" s="277">
        <f t="shared" si="27"/>
        <v>105.39</v>
      </c>
      <c r="Y55" s="270">
        <f t="shared" si="28"/>
        <v>61200.86</v>
      </c>
      <c r="Z55" s="270">
        <f t="shared" si="29"/>
        <v>49401.18</v>
      </c>
      <c r="AA55" s="515">
        <f t="shared" si="30"/>
        <v>49401.18</v>
      </c>
      <c r="AB55" s="669"/>
      <c r="AC55" s="675"/>
      <c r="AD55" s="676"/>
      <c r="AE55" s="676"/>
    </row>
    <row r="56" spans="1:31" ht="18.75">
      <c r="A56" s="169" t="s">
        <v>20</v>
      </c>
      <c r="B56" s="157">
        <f t="shared" si="16"/>
        <v>64646.300000000076</v>
      </c>
      <c r="C56" s="1218">
        <v>38671.41</v>
      </c>
      <c r="D56" s="529"/>
      <c r="E56" s="529"/>
      <c r="F56" s="529">
        <v>30457.94</v>
      </c>
      <c r="G56" s="526">
        <f t="shared" si="21"/>
        <v>72859.77000000008</v>
      </c>
      <c r="H56" s="946">
        <f t="shared" si="17"/>
        <v>0</v>
      </c>
      <c r="I56" s="1211"/>
      <c r="J56" s="530"/>
      <c r="K56" s="527">
        <f t="shared" si="22"/>
        <v>0</v>
      </c>
      <c r="L56" s="521">
        <f t="shared" si="18"/>
        <v>3766.87</v>
      </c>
      <c r="M56" s="531">
        <v>689</v>
      </c>
      <c r="N56" s="531">
        <v>689</v>
      </c>
      <c r="O56" s="380">
        <f t="shared" si="19"/>
        <v>3766.87</v>
      </c>
      <c r="P56" s="522">
        <f t="shared" si="20"/>
        <v>105.80999999999995</v>
      </c>
      <c r="Q56" s="1221">
        <v>6.46</v>
      </c>
      <c r="R56" s="1221"/>
      <c r="S56" s="1221">
        <v>6.46</v>
      </c>
      <c r="T56" s="509">
        <f t="shared" si="23"/>
        <v>105.80999999999995</v>
      </c>
      <c r="U56" s="130">
        <f t="shared" si="24"/>
        <v>6.46</v>
      </c>
      <c r="V56" s="134">
        <f t="shared" si="25"/>
        <v>689</v>
      </c>
      <c r="W56" s="134">
        <f t="shared" si="26"/>
        <v>0</v>
      </c>
      <c r="X56" s="277">
        <f t="shared" si="27"/>
        <v>695.46</v>
      </c>
      <c r="Y56" s="270">
        <f t="shared" si="28"/>
        <v>39366.87</v>
      </c>
      <c r="Z56" s="270">
        <f t="shared" si="29"/>
        <v>31153.399999999998</v>
      </c>
      <c r="AA56" s="515">
        <f t="shared" si="30"/>
        <v>30464.399999999998</v>
      </c>
      <c r="AB56" s="669"/>
      <c r="AC56" s="675"/>
      <c r="AD56" s="676"/>
      <c r="AE56" s="676"/>
    </row>
    <row r="57" spans="1:31" ht="21" customHeight="1">
      <c r="A57" s="73" t="s">
        <v>114</v>
      </c>
      <c r="B57" s="157">
        <f t="shared" si="16"/>
        <v>-450918.2800000005</v>
      </c>
      <c r="C57" s="1212">
        <v>47200.74</v>
      </c>
      <c r="D57" s="365"/>
      <c r="E57" s="365"/>
      <c r="F57" s="533">
        <v>41924.22</v>
      </c>
      <c r="G57" s="526">
        <f t="shared" si="21"/>
        <v>-445641.7600000005</v>
      </c>
      <c r="H57" s="946">
        <f t="shared" si="17"/>
        <v>0</v>
      </c>
      <c r="I57" s="1212">
        <v>268.71</v>
      </c>
      <c r="J57" s="365"/>
      <c r="K57" s="527">
        <f t="shared" si="22"/>
        <v>268.71</v>
      </c>
      <c r="L57" s="521">
        <f t="shared" si="18"/>
        <v>0</v>
      </c>
      <c r="M57" s="533">
        <v>1603.84</v>
      </c>
      <c r="N57" s="533"/>
      <c r="O57" s="380">
        <f t="shared" si="19"/>
        <v>1603.84</v>
      </c>
      <c r="P57" s="522">
        <f t="shared" si="20"/>
        <v>-3.280000000000001</v>
      </c>
      <c r="Q57" s="1212">
        <v>41.93</v>
      </c>
      <c r="R57" s="1212"/>
      <c r="S57" s="1212">
        <v>37.42</v>
      </c>
      <c r="T57" s="509">
        <f t="shared" si="23"/>
        <v>1.2299999999999969</v>
      </c>
      <c r="U57" s="130">
        <f t="shared" si="24"/>
        <v>37.42</v>
      </c>
      <c r="V57" s="134">
        <f t="shared" si="25"/>
        <v>0</v>
      </c>
      <c r="W57" s="134">
        <f t="shared" si="26"/>
        <v>0</v>
      </c>
      <c r="X57" s="277">
        <f t="shared" si="27"/>
        <v>37.42</v>
      </c>
      <c r="Y57" s="270">
        <f t="shared" si="28"/>
        <v>49115.219999999994</v>
      </c>
      <c r="Z57" s="270">
        <f t="shared" si="29"/>
        <v>41961.64</v>
      </c>
      <c r="AA57" s="515">
        <f t="shared" si="30"/>
        <v>41961.64</v>
      </c>
      <c r="AB57" s="669"/>
      <c r="AC57" s="675"/>
      <c r="AD57" s="675"/>
      <c r="AE57" s="676"/>
    </row>
    <row r="58" spans="1:31" ht="18.75" customHeight="1">
      <c r="A58" s="73" t="s">
        <v>115</v>
      </c>
      <c r="B58" s="157">
        <f t="shared" si="16"/>
        <v>20264.379999999932</v>
      </c>
      <c r="C58" s="1213">
        <v>16815.18</v>
      </c>
      <c r="D58" s="535"/>
      <c r="E58" s="535"/>
      <c r="F58" s="536">
        <v>12917.93</v>
      </c>
      <c r="G58" s="526">
        <f t="shared" si="21"/>
        <v>24161.629999999932</v>
      </c>
      <c r="H58" s="946">
        <f t="shared" si="17"/>
        <v>0</v>
      </c>
      <c r="I58" s="1213"/>
      <c r="J58" s="535"/>
      <c r="K58" s="527">
        <f t="shared" si="22"/>
        <v>0</v>
      </c>
      <c r="L58" s="521">
        <f t="shared" si="18"/>
        <v>0</v>
      </c>
      <c r="M58" s="537"/>
      <c r="N58" s="535"/>
      <c r="O58" s="380">
        <f t="shared" si="19"/>
        <v>0</v>
      </c>
      <c r="P58" s="522">
        <f t="shared" si="20"/>
        <v>-0.5599999999999996</v>
      </c>
      <c r="Q58" s="1213">
        <v>46.11</v>
      </c>
      <c r="R58" s="1213"/>
      <c r="S58" s="1213">
        <v>41.31</v>
      </c>
      <c r="T58" s="509">
        <f t="shared" si="23"/>
        <v>4.239999999999995</v>
      </c>
      <c r="U58" s="130">
        <f t="shared" si="24"/>
        <v>41.31</v>
      </c>
      <c r="V58" s="134">
        <f t="shared" si="25"/>
        <v>0</v>
      </c>
      <c r="W58" s="134">
        <f t="shared" si="26"/>
        <v>0</v>
      </c>
      <c r="X58" s="277">
        <f t="shared" si="27"/>
        <v>41.31</v>
      </c>
      <c r="Y58" s="270">
        <f t="shared" si="28"/>
        <v>16861.29</v>
      </c>
      <c r="Z58" s="270">
        <f t="shared" si="29"/>
        <v>12959.24</v>
      </c>
      <c r="AA58" s="515">
        <f t="shared" si="30"/>
        <v>12959.24</v>
      </c>
      <c r="AB58" s="669"/>
      <c r="AC58" s="675"/>
      <c r="AD58" s="676"/>
      <c r="AE58" s="676"/>
    </row>
    <row r="59" spans="1:31" ht="18.75" customHeight="1">
      <c r="A59" s="73" t="s">
        <v>188</v>
      </c>
      <c r="B59" s="157">
        <f t="shared" si="16"/>
        <v>12213.979999999938</v>
      </c>
      <c r="C59" s="1213">
        <v>44625.71</v>
      </c>
      <c r="D59" s="535"/>
      <c r="E59" s="535"/>
      <c r="F59" s="536">
        <v>35795.33</v>
      </c>
      <c r="G59" s="526">
        <f t="shared" si="21"/>
        <v>21044.359999999935</v>
      </c>
      <c r="H59" s="946">
        <f t="shared" si="17"/>
        <v>2373.87</v>
      </c>
      <c r="I59" s="1213">
        <v>338.67</v>
      </c>
      <c r="J59" s="535"/>
      <c r="K59" s="527">
        <f t="shared" si="22"/>
        <v>2712.54</v>
      </c>
      <c r="L59" s="521">
        <f t="shared" si="18"/>
        <v>5009.190000000002</v>
      </c>
      <c r="M59" s="537">
        <v>1649.28</v>
      </c>
      <c r="N59" s="535">
        <v>1600</v>
      </c>
      <c r="O59" s="380">
        <f t="shared" si="19"/>
        <v>5058.470000000002</v>
      </c>
      <c r="P59" s="522">
        <f t="shared" si="20"/>
        <v>-4838.96</v>
      </c>
      <c r="Q59" s="1213">
        <v>36.08</v>
      </c>
      <c r="R59" s="1213"/>
      <c r="S59" s="1213">
        <v>36.1</v>
      </c>
      <c r="T59" s="509">
        <f t="shared" si="23"/>
        <v>-4838.9800000000005</v>
      </c>
      <c r="U59" s="130">
        <f t="shared" si="24"/>
        <v>36.1</v>
      </c>
      <c r="V59" s="134">
        <f t="shared" si="25"/>
        <v>1600</v>
      </c>
      <c r="W59" s="134">
        <f t="shared" si="26"/>
        <v>0</v>
      </c>
      <c r="X59" s="277">
        <f t="shared" si="27"/>
        <v>1636.1</v>
      </c>
      <c r="Y59" s="270">
        <f t="shared" si="28"/>
        <v>46649.74</v>
      </c>
      <c r="Z59" s="270">
        <f t="shared" si="29"/>
        <v>37431.43</v>
      </c>
      <c r="AA59" s="515">
        <f t="shared" si="30"/>
        <v>35831.43</v>
      </c>
      <c r="AB59" s="669"/>
      <c r="AC59" s="675"/>
      <c r="AD59" s="676"/>
      <c r="AE59" s="676"/>
    </row>
    <row r="60" spans="1:31" ht="18.75" customHeight="1">
      <c r="A60" s="73" t="s">
        <v>189</v>
      </c>
      <c r="B60" s="157">
        <f t="shared" si="16"/>
        <v>81873.59000000001</v>
      </c>
      <c r="C60" s="1213">
        <v>51798.79</v>
      </c>
      <c r="D60" s="535"/>
      <c r="E60" s="535"/>
      <c r="F60" s="536">
        <v>39558.3</v>
      </c>
      <c r="G60" s="526">
        <f t="shared" si="21"/>
        <v>94114.08</v>
      </c>
      <c r="H60" s="946">
        <f t="shared" si="17"/>
        <v>6231.74</v>
      </c>
      <c r="I60" s="1213">
        <v>1885.74</v>
      </c>
      <c r="J60" s="535"/>
      <c r="K60" s="527">
        <f t="shared" si="22"/>
        <v>8117.48</v>
      </c>
      <c r="L60" s="521">
        <f t="shared" si="18"/>
        <v>-16528.399999999998</v>
      </c>
      <c r="M60" s="537">
        <v>701.19</v>
      </c>
      <c r="N60" s="535">
        <v>701.19</v>
      </c>
      <c r="O60" s="380">
        <f t="shared" si="19"/>
        <v>-16528.399999999998</v>
      </c>
      <c r="P60" s="522">
        <f t="shared" si="20"/>
        <v>-45080.85</v>
      </c>
      <c r="Q60" s="1213">
        <v>53.19</v>
      </c>
      <c r="R60" s="1213"/>
      <c r="S60" s="1213">
        <v>62.6</v>
      </c>
      <c r="T60" s="509">
        <f t="shared" si="23"/>
        <v>-45090.259999999995</v>
      </c>
      <c r="U60" s="130">
        <f t="shared" si="24"/>
        <v>62.6</v>
      </c>
      <c r="V60" s="134">
        <f t="shared" si="25"/>
        <v>701.19</v>
      </c>
      <c r="W60" s="134">
        <f t="shared" si="26"/>
        <v>0</v>
      </c>
      <c r="X60" s="277">
        <f t="shared" si="27"/>
        <v>763.7900000000001</v>
      </c>
      <c r="Y60" s="270">
        <f t="shared" si="28"/>
        <v>54438.91</v>
      </c>
      <c r="Z60" s="270">
        <f t="shared" si="29"/>
        <v>40322.090000000004</v>
      </c>
      <c r="AA60" s="515">
        <f t="shared" si="30"/>
        <v>39620.9</v>
      </c>
      <c r="AB60" s="669"/>
      <c r="AC60" s="675"/>
      <c r="AD60" s="676"/>
      <c r="AE60" s="676"/>
    </row>
    <row r="61" spans="1:31" ht="18.75" customHeight="1">
      <c r="A61" s="73" t="s">
        <v>218</v>
      </c>
      <c r="B61" s="157">
        <f t="shared" si="16"/>
        <v>104485.14000000001</v>
      </c>
      <c r="C61" s="1213">
        <v>47756.29</v>
      </c>
      <c r="D61" s="535"/>
      <c r="E61" s="535"/>
      <c r="F61" s="536">
        <v>39871.83</v>
      </c>
      <c r="G61" s="526">
        <f t="shared" si="21"/>
        <v>112369.60000000002</v>
      </c>
      <c r="H61" s="946">
        <f t="shared" si="17"/>
        <v>0</v>
      </c>
      <c r="I61" s="1213">
        <v>0</v>
      </c>
      <c r="J61" s="535"/>
      <c r="K61" s="527">
        <f t="shared" si="22"/>
        <v>0</v>
      </c>
      <c r="L61" s="521">
        <f t="shared" si="18"/>
        <v>-62945.81</v>
      </c>
      <c r="M61" s="537">
        <v>2174.33</v>
      </c>
      <c r="N61" s="535">
        <v>2174.33</v>
      </c>
      <c r="O61" s="380">
        <f t="shared" si="19"/>
        <v>-62945.81</v>
      </c>
      <c r="P61" s="522">
        <f t="shared" si="20"/>
        <v>-58549.320000000014</v>
      </c>
      <c r="Q61" s="1213">
        <v>71.69</v>
      </c>
      <c r="R61" s="1213"/>
      <c r="S61" s="1213">
        <v>73.22</v>
      </c>
      <c r="T61" s="509">
        <f t="shared" si="23"/>
        <v>-58550.85000000001</v>
      </c>
      <c r="U61" s="130">
        <f t="shared" si="24"/>
        <v>73.22</v>
      </c>
      <c r="V61" s="134">
        <f t="shared" si="25"/>
        <v>2174.33</v>
      </c>
      <c r="W61" s="134">
        <f t="shared" si="26"/>
        <v>0</v>
      </c>
      <c r="X61" s="277">
        <f t="shared" si="27"/>
        <v>2247.5499999999997</v>
      </c>
      <c r="Y61" s="270">
        <f t="shared" si="28"/>
        <v>50002.310000000005</v>
      </c>
      <c r="Z61" s="270">
        <f t="shared" si="29"/>
        <v>42119.380000000005</v>
      </c>
      <c r="AA61" s="515">
        <f t="shared" si="30"/>
        <v>39945.05</v>
      </c>
      <c r="AB61" s="669"/>
      <c r="AC61" s="675"/>
      <c r="AD61" s="676"/>
      <c r="AE61" s="676"/>
    </row>
    <row r="62" spans="1:31" ht="18.75" customHeight="1">
      <c r="A62" s="73" t="s">
        <v>238</v>
      </c>
      <c r="B62" s="157">
        <f t="shared" si="16"/>
        <v>62888.500000000015</v>
      </c>
      <c r="C62" s="1213">
        <v>17768.29</v>
      </c>
      <c r="D62" s="535"/>
      <c r="E62" s="535"/>
      <c r="F62" s="536">
        <v>15762.79</v>
      </c>
      <c r="G62" s="526">
        <f t="shared" si="21"/>
        <v>64894.00000000001</v>
      </c>
      <c r="H62" s="946">
        <f t="shared" si="17"/>
        <v>0</v>
      </c>
      <c r="I62" s="1213">
        <v>0</v>
      </c>
      <c r="J62" s="535"/>
      <c r="K62" s="527">
        <f t="shared" si="22"/>
        <v>0</v>
      </c>
      <c r="L62" s="521">
        <f t="shared" si="18"/>
        <v>0</v>
      </c>
      <c r="M62" s="537"/>
      <c r="N62" s="535"/>
      <c r="O62" s="380">
        <f t="shared" si="19"/>
        <v>0</v>
      </c>
      <c r="P62" s="522">
        <f t="shared" si="20"/>
        <v>0</v>
      </c>
      <c r="Q62" s="1213">
        <v>129.62</v>
      </c>
      <c r="R62" s="1213"/>
      <c r="S62" s="1213">
        <v>95.85</v>
      </c>
      <c r="T62" s="509">
        <f t="shared" si="23"/>
        <v>33.77000000000001</v>
      </c>
      <c r="U62" s="130">
        <f t="shared" si="24"/>
        <v>95.85</v>
      </c>
      <c r="V62" s="134">
        <f t="shared" si="25"/>
        <v>0</v>
      </c>
      <c r="W62" s="134">
        <f t="shared" si="26"/>
        <v>0</v>
      </c>
      <c r="X62" s="277">
        <f t="shared" si="27"/>
        <v>95.85</v>
      </c>
      <c r="Y62" s="270">
        <f t="shared" si="28"/>
        <v>17897.91</v>
      </c>
      <c r="Z62" s="270">
        <f t="shared" si="29"/>
        <v>15858.640000000001</v>
      </c>
      <c r="AA62" s="515">
        <f t="shared" si="30"/>
        <v>15858.640000000001</v>
      </c>
      <c r="AB62" s="669"/>
      <c r="AC62" s="675"/>
      <c r="AD62" s="676"/>
      <c r="AE62" s="676"/>
    </row>
    <row r="63" spans="1:31" ht="18.75" customHeight="1">
      <c r="A63" s="73" t="s">
        <v>304</v>
      </c>
      <c r="B63" s="157">
        <f>B31</f>
        <v>372751.24999999977</v>
      </c>
      <c r="C63" s="1213">
        <v>62547.26</v>
      </c>
      <c r="D63" s="535"/>
      <c r="E63" s="535"/>
      <c r="F63" s="536">
        <v>68337.32</v>
      </c>
      <c r="G63" s="526">
        <f t="shared" si="21"/>
        <v>366961.18999999977</v>
      </c>
      <c r="H63" s="946">
        <f t="shared" si="17"/>
        <v>0</v>
      </c>
      <c r="I63" s="1213">
        <v>0</v>
      </c>
      <c r="J63" s="535"/>
      <c r="K63" s="527">
        <f t="shared" si="22"/>
        <v>0</v>
      </c>
      <c r="L63" s="521">
        <f t="shared" si="18"/>
        <v>0</v>
      </c>
      <c r="M63" s="537">
        <v>1889.09</v>
      </c>
      <c r="N63" s="535">
        <v>1511.15</v>
      </c>
      <c r="O63" s="380">
        <f t="shared" si="19"/>
        <v>377.9399999999998</v>
      </c>
      <c r="P63" s="522">
        <f t="shared" si="20"/>
        <v>0</v>
      </c>
      <c r="Q63" s="1213">
        <v>380.09</v>
      </c>
      <c r="R63" s="1213"/>
      <c r="S63" s="1213">
        <f>382.54+4120.31</f>
        <v>4502.85</v>
      </c>
      <c r="T63" s="509">
        <f t="shared" si="23"/>
        <v>-4122.76</v>
      </c>
      <c r="U63" s="130">
        <f t="shared" si="24"/>
        <v>4502.85</v>
      </c>
      <c r="V63" s="134">
        <f t="shared" si="25"/>
        <v>1511.15</v>
      </c>
      <c r="W63" s="134">
        <f t="shared" si="26"/>
        <v>0</v>
      </c>
      <c r="X63" s="277">
        <f t="shared" si="27"/>
        <v>6014</v>
      </c>
      <c r="Y63" s="270">
        <f t="shared" si="28"/>
        <v>64816.439999999995</v>
      </c>
      <c r="Z63" s="270">
        <f t="shared" si="29"/>
        <v>74351.32</v>
      </c>
      <c r="AA63" s="515">
        <f t="shared" si="30"/>
        <v>72840.17000000001</v>
      </c>
      <c r="AB63" s="669"/>
      <c r="AC63" s="675"/>
      <c r="AD63" s="676"/>
      <c r="AE63" s="676"/>
    </row>
    <row r="64" spans="1:31" ht="18.75" customHeight="1">
      <c r="A64" s="73" t="s">
        <v>321</v>
      </c>
      <c r="B64" s="157">
        <f t="shared" si="16"/>
        <v>690468.2299999999</v>
      </c>
      <c r="C64" s="1213">
        <v>63999.5</v>
      </c>
      <c r="D64" s="535"/>
      <c r="E64" s="535"/>
      <c r="F64" s="536">
        <v>119908.64</v>
      </c>
      <c r="G64" s="526">
        <f t="shared" si="21"/>
        <v>634559.0899999999</v>
      </c>
      <c r="H64" s="946">
        <f t="shared" si="17"/>
        <v>0</v>
      </c>
      <c r="I64" s="1213">
        <v>0</v>
      </c>
      <c r="J64" s="535"/>
      <c r="K64" s="527">
        <f t="shared" si="22"/>
        <v>0</v>
      </c>
      <c r="L64" s="521">
        <f t="shared" si="18"/>
        <v>0</v>
      </c>
      <c r="M64" s="537">
        <v>6247.37</v>
      </c>
      <c r="N64" s="535">
        <v>1069.23</v>
      </c>
      <c r="O64" s="380">
        <f t="shared" si="19"/>
        <v>5178.139999999999</v>
      </c>
      <c r="P64" s="522">
        <f t="shared" si="20"/>
        <v>0</v>
      </c>
      <c r="Q64" s="535">
        <v>152.51</v>
      </c>
      <c r="R64" s="535"/>
      <c r="S64" s="535">
        <f>116.97+25296.56</f>
        <v>25413.530000000002</v>
      </c>
      <c r="T64" s="509">
        <f t="shared" si="23"/>
        <v>-25261.020000000004</v>
      </c>
      <c r="U64" s="130">
        <f t="shared" si="24"/>
        <v>25413.530000000002</v>
      </c>
      <c r="V64" s="134">
        <f t="shared" si="25"/>
        <v>1069.23</v>
      </c>
      <c r="W64" s="134">
        <f t="shared" si="26"/>
        <v>0</v>
      </c>
      <c r="X64" s="277">
        <f t="shared" si="27"/>
        <v>26482.760000000002</v>
      </c>
      <c r="Y64" s="270">
        <f t="shared" si="28"/>
        <v>70399.37999999999</v>
      </c>
      <c r="Z64" s="270">
        <f t="shared" si="29"/>
        <v>146391.4</v>
      </c>
      <c r="AA64" s="515">
        <f t="shared" si="30"/>
        <v>145322.17</v>
      </c>
      <c r="AB64" s="669"/>
      <c r="AC64" s="675"/>
      <c r="AD64" s="676"/>
      <c r="AE64" s="676"/>
    </row>
    <row r="65" spans="1:31" ht="28.5" customHeight="1">
      <c r="A65" s="1506" t="s">
        <v>127</v>
      </c>
      <c r="B65" s="1507">
        <f>SUM(B38:B64)</f>
        <v>2627303.3700000015</v>
      </c>
      <c r="C65" s="1508">
        <f>SUM(C38:C64)</f>
        <v>1071372.08</v>
      </c>
      <c r="D65" s="1508">
        <f>SUM(D38:D58)</f>
        <v>0</v>
      </c>
      <c r="E65" s="1509"/>
      <c r="F65" s="1538">
        <f>SUM(F38:F64)</f>
        <v>955257.91</v>
      </c>
      <c r="G65" s="1507">
        <f>SUM(G38:G64)</f>
        <v>2743417.5400000014</v>
      </c>
      <c r="H65" s="1507">
        <f>SUM(H38:H62)</f>
        <v>123556.86999999997</v>
      </c>
      <c r="I65" s="1508">
        <v>9445.42</v>
      </c>
      <c r="J65" s="1539">
        <f>SUM(J38:J58)</f>
        <v>0</v>
      </c>
      <c r="K65" s="1507">
        <f>SUM(K38:K62)</f>
        <v>133002.28999999998</v>
      </c>
      <c r="L65" s="1507">
        <f>SUM(L38:L62)</f>
        <v>-75267.98999999999</v>
      </c>
      <c r="M65" s="1507">
        <f>SUM(M38:M64)</f>
        <v>39117.45</v>
      </c>
      <c r="N65" s="1539">
        <f>SUM(N38:N64)</f>
        <v>21809.24</v>
      </c>
      <c r="O65" s="1507">
        <f>SUM(O38:O62)</f>
        <v>-63515.859999999986</v>
      </c>
      <c r="P65" s="1507">
        <f>SUM(P38:P62)</f>
        <v>-112627.83000000002</v>
      </c>
      <c r="Q65" s="1507">
        <f>SUM(Q38:Q64)</f>
        <v>1756.2399999999998</v>
      </c>
      <c r="R65" s="1509"/>
      <c r="S65" s="1538">
        <f>SUM(S38:S64)</f>
        <v>31490.74</v>
      </c>
      <c r="T65" s="1507">
        <f>SUM(T38:T64)</f>
        <v>-142362.33000000002</v>
      </c>
      <c r="U65" s="1507">
        <f>SUM(U38:U64)</f>
        <v>31490.74</v>
      </c>
      <c r="V65" s="1507">
        <f>SUM(V38:V64)</f>
        <v>21809.24</v>
      </c>
      <c r="W65" s="1507">
        <f>SUM(W38:W62)</f>
        <v>0</v>
      </c>
      <c r="X65" s="1507">
        <f>SUM(X38:X64)</f>
        <v>53299.979999999996</v>
      </c>
      <c r="Y65" s="1516">
        <f>SUM(Y38:Y64)</f>
        <v>1121691.19</v>
      </c>
      <c r="Z65" s="1516">
        <f>SUM(Z38:Z64)</f>
        <v>1008557.8900000002</v>
      </c>
      <c r="AA65" s="1222">
        <f>SUM(AA38:AA64)</f>
        <v>986748.6500000003</v>
      </c>
      <c r="AB65" s="670"/>
      <c r="AC65" s="677"/>
      <c r="AD65" s="678"/>
      <c r="AE65" s="676"/>
    </row>
    <row r="66" spans="1:31" ht="28.5" customHeight="1">
      <c r="A66" s="1510"/>
      <c r="B66" s="1511"/>
      <c r="C66" s="1512"/>
      <c r="D66" s="1512"/>
      <c r="E66" s="1513"/>
      <c r="F66" s="1514"/>
      <c r="G66" s="1507"/>
      <c r="H66" s="1507"/>
      <c r="I66" s="1515"/>
      <c r="J66" s="1509"/>
      <c r="K66" s="1507"/>
      <c r="L66" s="1507"/>
      <c r="M66" s="1507"/>
      <c r="N66" s="1509"/>
      <c r="O66" s="1507"/>
      <c r="P66" s="1517"/>
      <c r="Q66" s="1518"/>
      <c r="R66" s="1519"/>
      <c r="S66" s="1518"/>
      <c r="T66" s="1511"/>
      <c r="U66" s="1511"/>
      <c r="V66" s="1511"/>
      <c r="W66" s="1511"/>
      <c r="X66" s="1511"/>
      <c r="Y66" s="1520"/>
      <c r="Z66" s="1520"/>
      <c r="AA66" s="856"/>
      <c r="AB66" s="670"/>
      <c r="AC66" s="677"/>
      <c r="AD66" s="678"/>
      <c r="AE66" s="676"/>
    </row>
    <row r="67" spans="1:28" ht="39.75" customHeight="1" thickBot="1">
      <c r="A67" s="401" t="s">
        <v>121</v>
      </c>
      <c r="B67" s="1667" t="s">
        <v>22</v>
      </c>
      <c r="C67" s="1669" t="s">
        <v>2</v>
      </c>
      <c r="D67" s="1669"/>
      <c r="E67" s="1669"/>
      <c r="F67" s="1669"/>
      <c r="G67" s="1725" t="s">
        <v>3</v>
      </c>
      <c r="H67" s="1726"/>
      <c r="I67" s="1726"/>
      <c r="J67" s="1727"/>
      <c r="K67" s="1648" t="s">
        <v>4</v>
      </c>
      <c r="L67" s="1648"/>
      <c r="M67" s="1648"/>
      <c r="N67" s="1199"/>
      <c r="O67" s="86"/>
      <c r="P67" s="1636" t="s">
        <v>74</v>
      </c>
      <c r="Q67" s="1637"/>
      <c r="R67" s="1637"/>
      <c r="S67" s="1637"/>
      <c r="T67" s="367" t="s">
        <v>67</v>
      </c>
      <c r="U67" s="373" t="s">
        <v>69</v>
      </c>
      <c r="V67" s="374" t="s">
        <v>71</v>
      </c>
      <c r="W67" s="375" t="s">
        <v>72</v>
      </c>
      <c r="X67" s="52"/>
      <c r="Z67" s="39"/>
      <c r="AB67" s="667"/>
    </row>
    <row r="68" spans="1:31" ht="36.75" customHeight="1" thickBot="1">
      <c r="A68" s="377" t="s">
        <v>1</v>
      </c>
      <c r="B68" s="1668"/>
      <c r="C68" s="172" t="s">
        <v>5</v>
      </c>
      <c r="D68" s="95" t="s">
        <v>6</v>
      </c>
      <c r="E68" s="538" t="s">
        <v>147</v>
      </c>
      <c r="F68" s="95" t="s">
        <v>7</v>
      </c>
      <c r="G68" s="94" t="s">
        <v>22</v>
      </c>
      <c r="H68" s="95" t="s">
        <v>5</v>
      </c>
      <c r="I68" s="95" t="s">
        <v>6</v>
      </c>
      <c r="J68" s="96" t="s">
        <v>7</v>
      </c>
      <c r="K68" s="119" t="s">
        <v>22</v>
      </c>
      <c r="L68" s="120" t="s">
        <v>5</v>
      </c>
      <c r="M68" s="120" t="s">
        <v>6</v>
      </c>
      <c r="N68" s="120" t="s">
        <v>7</v>
      </c>
      <c r="O68" s="123" t="s">
        <v>22</v>
      </c>
      <c r="P68" s="123" t="s">
        <v>33</v>
      </c>
      <c r="Q68" s="124" t="s">
        <v>64</v>
      </c>
      <c r="R68" s="124" t="s">
        <v>6</v>
      </c>
      <c r="S68" s="125" t="s">
        <v>7</v>
      </c>
      <c r="T68" s="103" t="s">
        <v>68</v>
      </c>
      <c r="U68" s="104" t="s">
        <v>70</v>
      </c>
      <c r="V68" s="105" t="s">
        <v>70</v>
      </c>
      <c r="W68" s="189" t="s">
        <v>80</v>
      </c>
      <c r="X68" s="239" t="s">
        <v>106</v>
      </c>
      <c r="Y68" s="239" t="s">
        <v>107</v>
      </c>
      <c r="Z68" s="511" t="s">
        <v>146</v>
      </c>
      <c r="AB68" s="41" t="s">
        <v>134</v>
      </c>
      <c r="AC68" s="1588" t="s">
        <v>186</v>
      </c>
      <c r="AD68" s="1589"/>
      <c r="AE68" s="1590"/>
    </row>
    <row r="69" spans="1:31" ht="23.25">
      <c r="A69" s="174" t="s">
        <v>47</v>
      </c>
      <c r="B69" s="146">
        <f aca="true" t="shared" si="31" ref="B69:B95">G38</f>
        <v>111390.83999999995</v>
      </c>
      <c r="C69" s="1235">
        <v>15241.13</v>
      </c>
      <c r="D69" s="1235">
        <v>15093.86</v>
      </c>
      <c r="E69" s="170"/>
      <c r="F69" s="541">
        <f>B69+C69-D69</f>
        <v>111538.10999999996</v>
      </c>
      <c r="G69" s="974">
        <f aca="true" t="shared" si="32" ref="G69:G95">K38</f>
        <v>23845.759999999987</v>
      </c>
      <c r="H69" s="1226">
        <v>1505.17</v>
      </c>
      <c r="I69" s="968">
        <v>0</v>
      </c>
      <c r="J69" s="145">
        <f>G69+H69-I69</f>
        <v>25350.929999999986</v>
      </c>
      <c r="K69" s="379">
        <f aca="true" t="shared" si="33" ref="K69:K95">O38</f>
        <v>-5365.19</v>
      </c>
      <c r="L69" s="526">
        <v>4819.88</v>
      </c>
      <c r="M69" s="962"/>
      <c r="N69" s="121">
        <f>K69+L69-M69</f>
        <v>-545.3099999999995</v>
      </c>
      <c r="O69" s="546">
        <f aca="true" t="shared" si="34" ref="O69:O95">T38</f>
        <v>-1533.45</v>
      </c>
      <c r="P69" s="1228">
        <v>191.73</v>
      </c>
      <c r="Q69" s="127"/>
      <c r="R69" s="1228">
        <v>159.83</v>
      </c>
      <c r="S69" s="546">
        <f>O69+P69-R69</f>
        <v>-1501.55</v>
      </c>
      <c r="T69" s="547">
        <f>R69</f>
        <v>159.83</v>
      </c>
      <c r="U69" s="134">
        <f>M69</f>
        <v>0</v>
      </c>
      <c r="V69" s="134">
        <f aca="true" t="shared" si="35" ref="V69:V95">I69</f>
        <v>0</v>
      </c>
      <c r="W69" s="547">
        <f>T69+U69+V69</f>
        <v>159.83</v>
      </c>
      <c r="X69" s="270">
        <f>C69+H69+L69+P69</f>
        <v>21757.91</v>
      </c>
      <c r="Y69" s="270">
        <f>D69+I69+M69+R69</f>
        <v>15253.69</v>
      </c>
      <c r="Z69" s="512">
        <f>D69+R69</f>
        <v>15253.69</v>
      </c>
      <c r="AB69" s="975" t="s">
        <v>47</v>
      </c>
      <c r="AC69" s="8">
        <f>AC6+Y38+X69</f>
        <v>62089.86</v>
      </c>
      <c r="AD69" s="8">
        <f>AD6+Z38+Y69</f>
        <v>60602.729999999996</v>
      </c>
      <c r="AE69" s="1195"/>
    </row>
    <row r="70" spans="1:31" ht="18.75">
      <c r="A70" s="168" t="s">
        <v>53</v>
      </c>
      <c r="B70" s="146">
        <f t="shared" si="31"/>
        <v>120240.1800000002</v>
      </c>
      <c r="C70" s="1235">
        <v>33877.29</v>
      </c>
      <c r="D70" s="1235">
        <v>29003.76</v>
      </c>
      <c r="E70" s="170"/>
      <c r="F70" s="541">
        <f aca="true" t="shared" si="36" ref="F70:F95">B70+C70-D70</f>
        <v>125113.71000000021</v>
      </c>
      <c r="G70" s="974">
        <f t="shared" si="32"/>
        <v>356.53999999999974</v>
      </c>
      <c r="H70" s="1226">
        <v>294.05</v>
      </c>
      <c r="I70" s="968">
        <v>0</v>
      </c>
      <c r="J70" s="145">
        <f aca="true" t="shared" si="37" ref="J70:J95">G70+H70-I70</f>
        <v>650.5899999999997</v>
      </c>
      <c r="K70" s="379">
        <f t="shared" si="33"/>
        <v>-3623.3999999999996</v>
      </c>
      <c r="L70" s="526">
        <v>137.45</v>
      </c>
      <c r="M70" s="963"/>
      <c r="N70" s="121">
        <f aca="true" t="shared" si="38" ref="N70:N95">K70+L70-M70</f>
        <v>-3485.95</v>
      </c>
      <c r="O70" s="546">
        <f t="shared" si="34"/>
        <v>182.32999999999998</v>
      </c>
      <c r="P70" s="1229">
        <v>11</v>
      </c>
      <c r="Q70" s="128"/>
      <c r="R70" s="1229">
        <v>23.79</v>
      </c>
      <c r="S70" s="546">
        <f aca="true" t="shared" si="39" ref="S70:S95">O70+P70-R70</f>
        <v>169.54</v>
      </c>
      <c r="T70" s="547">
        <f aca="true" t="shared" si="40" ref="T70:T95">R70</f>
        <v>23.79</v>
      </c>
      <c r="U70" s="134">
        <f aca="true" t="shared" si="41" ref="U70:U95">M70</f>
        <v>0</v>
      </c>
      <c r="V70" s="134">
        <f t="shared" si="35"/>
        <v>0</v>
      </c>
      <c r="W70" s="547">
        <f aca="true" t="shared" si="42" ref="W70:W95">T70+U70+V70</f>
        <v>23.79</v>
      </c>
      <c r="X70" s="270">
        <f aca="true" t="shared" si="43" ref="X70:X95">C70+H70+L70+P70</f>
        <v>34319.79</v>
      </c>
      <c r="Y70" s="270">
        <f aca="true" t="shared" si="44" ref="Y70:Y95">D70+I70+M70+R70</f>
        <v>29027.55</v>
      </c>
      <c r="Z70" s="512">
        <f aca="true" t="shared" si="45" ref="Z70:Z95">D70+R70</f>
        <v>29027.55</v>
      </c>
      <c r="AB70" s="1255" t="s">
        <v>53</v>
      </c>
      <c r="AC70" s="8">
        <f aca="true" t="shared" si="46" ref="AC70:AC95">AC7+Y39+X70</f>
        <v>98937.63</v>
      </c>
      <c r="AD70" s="8">
        <f aca="true" t="shared" si="47" ref="AD70:AD95">AD7+Z39+Y70</f>
        <v>93926.36</v>
      </c>
      <c r="AE70" s="41"/>
    </row>
    <row r="71" spans="1:31" ht="18.75">
      <c r="A71" s="168" t="s">
        <v>8</v>
      </c>
      <c r="B71" s="146">
        <f t="shared" si="31"/>
        <v>74445.62</v>
      </c>
      <c r="C71" s="1236"/>
      <c r="D71" s="1236"/>
      <c r="E71" s="78"/>
      <c r="F71" s="541">
        <f t="shared" si="36"/>
        <v>74445.62</v>
      </c>
      <c r="G71" s="974">
        <f t="shared" si="32"/>
        <v>0</v>
      </c>
      <c r="H71" s="1069"/>
      <c r="I71" s="969">
        <v>0</v>
      </c>
      <c r="J71" s="145">
        <f t="shared" si="37"/>
        <v>0</v>
      </c>
      <c r="K71" s="379">
        <f t="shared" si="33"/>
        <v>0</v>
      </c>
      <c r="L71" s="526"/>
      <c r="M71" s="526"/>
      <c r="N71" s="121">
        <f t="shared" si="38"/>
        <v>0</v>
      </c>
      <c r="O71" s="546">
        <f t="shared" si="34"/>
        <v>0</v>
      </c>
      <c r="P71" s="1230"/>
      <c r="Q71" s="129"/>
      <c r="R71" s="1230"/>
      <c r="S71" s="546">
        <f t="shared" si="39"/>
        <v>0</v>
      </c>
      <c r="T71" s="547">
        <f t="shared" si="40"/>
        <v>0</v>
      </c>
      <c r="U71" s="134">
        <f t="shared" si="41"/>
        <v>0</v>
      </c>
      <c r="V71" s="134">
        <f t="shared" si="35"/>
        <v>0</v>
      </c>
      <c r="W71" s="547">
        <f t="shared" si="42"/>
        <v>0</v>
      </c>
      <c r="X71" s="270">
        <f t="shared" si="43"/>
        <v>0</v>
      </c>
      <c r="Y71" s="270">
        <f t="shared" si="44"/>
        <v>0</v>
      </c>
      <c r="Z71" s="512">
        <f t="shared" si="45"/>
        <v>0</v>
      </c>
      <c r="AB71" s="1251" t="s">
        <v>8</v>
      </c>
      <c r="AC71" s="8">
        <f t="shared" si="46"/>
        <v>0</v>
      </c>
      <c r="AD71" s="8">
        <f t="shared" si="47"/>
        <v>0</v>
      </c>
      <c r="AE71" s="41"/>
    </row>
    <row r="72" spans="1:31" ht="18.75">
      <c r="A72" s="168" t="s">
        <v>48</v>
      </c>
      <c r="B72" s="146">
        <f t="shared" si="31"/>
        <v>362069.90000000014</v>
      </c>
      <c r="C72" s="1236">
        <v>81567.19</v>
      </c>
      <c r="D72" s="1236">
        <v>69564.15</v>
      </c>
      <c r="E72" s="78"/>
      <c r="F72" s="541">
        <f t="shared" si="36"/>
        <v>374072.9400000002</v>
      </c>
      <c r="G72" s="974">
        <f t="shared" si="32"/>
        <v>24759.479999999992</v>
      </c>
      <c r="H72" s="1069">
        <v>1401.11</v>
      </c>
      <c r="I72" s="969">
        <v>0</v>
      </c>
      <c r="J72" s="145">
        <f t="shared" si="37"/>
        <v>26160.589999999993</v>
      </c>
      <c r="K72" s="379">
        <f t="shared" si="33"/>
        <v>243.16000000000076</v>
      </c>
      <c r="L72" s="526">
        <v>2139.04</v>
      </c>
      <c r="M72" s="526">
        <v>631.49</v>
      </c>
      <c r="N72" s="121">
        <f t="shared" si="38"/>
        <v>1750.7100000000007</v>
      </c>
      <c r="O72" s="546">
        <f t="shared" si="34"/>
        <v>-2430.3399999999997</v>
      </c>
      <c r="P72" s="1230">
        <v>89.11</v>
      </c>
      <c r="Q72" s="129"/>
      <c r="R72" s="1230">
        <v>85.05</v>
      </c>
      <c r="S72" s="546">
        <f t="shared" si="39"/>
        <v>-2426.2799999999997</v>
      </c>
      <c r="T72" s="547">
        <f t="shared" si="40"/>
        <v>85.05</v>
      </c>
      <c r="U72" s="134">
        <f t="shared" si="41"/>
        <v>631.49</v>
      </c>
      <c r="V72" s="134">
        <f t="shared" si="35"/>
        <v>0</v>
      </c>
      <c r="W72" s="547">
        <f t="shared" si="42"/>
        <v>716.54</v>
      </c>
      <c r="X72" s="270">
        <f t="shared" si="43"/>
        <v>85196.45</v>
      </c>
      <c r="Y72" s="270">
        <f t="shared" si="44"/>
        <v>70280.69</v>
      </c>
      <c r="Z72" s="512">
        <f t="shared" si="45"/>
        <v>69649.2</v>
      </c>
      <c r="AB72" s="1251" t="s">
        <v>48</v>
      </c>
      <c r="AC72" s="8">
        <f t="shared" si="46"/>
        <v>246141.28999999998</v>
      </c>
      <c r="AD72" s="8">
        <f t="shared" si="47"/>
        <v>243970.16</v>
      </c>
      <c r="AE72" s="41"/>
    </row>
    <row r="73" spans="1:31" ht="18.75">
      <c r="A73" s="167" t="s">
        <v>9</v>
      </c>
      <c r="B73" s="146">
        <f t="shared" si="31"/>
        <v>124408.22000000009</v>
      </c>
      <c r="C73" s="1236">
        <v>20363.74</v>
      </c>
      <c r="D73" s="1236">
        <v>18567.1</v>
      </c>
      <c r="E73" s="78"/>
      <c r="F73" s="541">
        <f t="shared" si="36"/>
        <v>126204.86000000007</v>
      </c>
      <c r="G73" s="974">
        <f t="shared" si="32"/>
        <v>29136.75</v>
      </c>
      <c r="H73" s="1069">
        <f>1508.75+112.42</f>
        <v>1621.17</v>
      </c>
      <c r="I73" s="969">
        <v>0</v>
      </c>
      <c r="J73" s="145">
        <f t="shared" si="37"/>
        <v>30757.92</v>
      </c>
      <c r="K73" s="379">
        <f t="shared" si="33"/>
        <v>0</v>
      </c>
      <c r="L73" s="526"/>
      <c r="M73" s="526"/>
      <c r="N73" s="121">
        <f t="shared" si="38"/>
        <v>0</v>
      </c>
      <c r="O73" s="546">
        <f t="shared" si="34"/>
        <v>114.1799999999999</v>
      </c>
      <c r="P73" s="1230">
        <v>77.17</v>
      </c>
      <c r="Q73" s="129"/>
      <c r="R73" s="1230">
        <v>-922.56</v>
      </c>
      <c r="S73" s="546">
        <f t="shared" si="39"/>
        <v>1113.9099999999999</v>
      </c>
      <c r="T73" s="547">
        <f t="shared" si="40"/>
        <v>-922.56</v>
      </c>
      <c r="U73" s="134">
        <f t="shared" si="41"/>
        <v>0</v>
      </c>
      <c r="V73" s="134">
        <f t="shared" si="35"/>
        <v>0</v>
      </c>
      <c r="W73" s="547">
        <f t="shared" si="42"/>
        <v>-922.56</v>
      </c>
      <c r="X73" s="270">
        <f t="shared" si="43"/>
        <v>22062.08</v>
      </c>
      <c r="Y73" s="270">
        <f t="shared" si="44"/>
        <v>17644.539999999997</v>
      </c>
      <c r="Z73" s="512">
        <f t="shared" si="45"/>
        <v>17644.539999999997</v>
      </c>
      <c r="AB73" s="1251" t="s">
        <v>9</v>
      </c>
      <c r="AC73" s="8">
        <f t="shared" si="46"/>
        <v>63427.030000000006</v>
      </c>
      <c r="AD73" s="8">
        <f t="shared" si="47"/>
        <v>56271.98999999999</v>
      </c>
      <c r="AE73" s="41"/>
    </row>
    <row r="74" spans="1:31" ht="18.75">
      <c r="A74" s="167" t="s">
        <v>10</v>
      </c>
      <c r="B74" s="146">
        <f t="shared" si="31"/>
        <v>9331.790000000088</v>
      </c>
      <c r="C74" s="1236">
        <v>8796.01</v>
      </c>
      <c r="D74" s="1236">
        <v>7248.32</v>
      </c>
      <c r="E74" s="78"/>
      <c r="F74" s="541">
        <f t="shared" si="36"/>
        <v>10879.48000000009</v>
      </c>
      <c r="G74" s="974">
        <f t="shared" si="32"/>
        <v>0</v>
      </c>
      <c r="H74" s="1069"/>
      <c r="I74" s="969">
        <v>0</v>
      </c>
      <c r="J74" s="145">
        <f t="shared" si="37"/>
        <v>0</v>
      </c>
      <c r="K74" s="379">
        <f t="shared" si="33"/>
        <v>0</v>
      </c>
      <c r="L74" s="526"/>
      <c r="M74" s="526"/>
      <c r="N74" s="121">
        <f t="shared" si="38"/>
        <v>0</v>
      </c>
      <c r="O74" s="546">
        <f t="shared" si="34"/>
        <v>0.779999999999994</v>
      </c>
      <c r="P74" s="1230"/>
      <c r="Q74" s="129"/>
      <c r="R74" s="1230"/>
      <c r="S74" s="546">
        <f t="shared" si="39"/>
        <v>0.779999999999994</v>
      </c>
      <c r="T74" s="547">
        <f t="shared" si="40"/>
        <v>0</v>
      </c>
      <c r="U74" s="134">
        <f t="shared" si="41"/>
        <v>0</v>
      </c>
      <c r="V74" s="134">
        <f t="shared" si="35"/>
        <v>0</v>
      </c>
      <c r="W74" s="547">
        <f t="shared" si="42"/>
        <v>0</v>
      </c>
      <c r="X74" s="270">
        <f t="shared" si="43"/>
        <v>8796.01</v>
      </c>
      <c r="Y74" s="270">
        <f t="shared" si="44"/>
        <v>7248.32</v>
      </c>
      <c r="Z74" s="512">
        <f t="shared" si="45"/>
        <v>7248.32</v>
      </c>
      <c r="AB74" s="1251" t="s">
        <v>10</v>
      </c>
      <c r="AC74" s="8">
        <f t="shared" si="46"/>
        <v>25387.810000000005</v>
      </c>
      <c r="AD74" s="8">
        <f t="shared" si="47"/>
        <v>21789.23</v>
      </c>
      <c r="AE74" s="41"/>
    </row>
    <row r="75" spans="1:31" ht="18.75">
      <c r="A75" s="167" t="s">
        <v>11</v>
      </c>
      <c r="B75" s="146">
        <f t="shared" si="31"/>
        <v>8536.580000000034</v>
      </c>
      <c r="C75" s="1236">
        <v>8764.88</v>
      </c>
      <c r="D75" s="1236">
        <v>7565.3</v>
      </c>
      <c r="E75" s="78"/>
      <c r="F75" s="541">
        <f t="shared" si="36"/>
        <v>9736.160000000036</v>
      </c>
      <c r="G75" s="974">
        <f t="shared" si="32"/>
        <v>0</v>
      </c>
      <c r="H75" s="1069"/>
      <c r="I75" s="969">
        <v>0</v>
      </c>
      <c r="J75" s="145">
        <f t="shared" si="37"/>
        <v>0</v>
      </c>
      <c r="K75" s="379">
        <f t="shared" si="33"/>
        <v>0</v>
      </c>
      <c r="L75" s="526"/>
      <c r="M75" s="526"/>
      <c r="N75" s="121">
        <f t="shared" si="38"/>
        <v>0</v>
      </c>
      <c r="O75" s="546">
        <f t="shared" si="34"/>
        <v>89.53</v>
      </c>
      <c r="P75" s="1230"/>
      <c r="Q75" s="129"/>
      <c r="R75" s="1230"/>
      <c r="S75" s="546">
        <f t="shared" si="39"/>
        <v>89.53</v>
      </c>
      <c r="T75" s="547">
        <f t="shared" si="40"/>
        <v>0</v>
      </c>
      <c r="U75" s="134">
        <f t="shared" si="41"/>
        <v>0</v>
      </c>
      <c r="V75" s="134">
        <f t="shared" si="35"/>
        <v>0</v>
      </c>
      <c r="W75" s="547">
        <f t="shared" si="42"/>
        <v>0</v>
      </c>
      <c r="X75" s="270">
        <f t="shared" si="43"/>
        <v>8764.88</v>
      </c>
      <c r="Y75" s="270">
        <f t="shared" si="44"/>
        <v>7565.3</v>
      </c>
      <c r="Z75" s="512">
        <f t="shared" si="45"/>
        <v>7565.3</v>
      </c>
      <c r="AB75" s="1251" t="s">
        <v>11</v>
      </c>
      <c r="AC75" s="8">
        <f t="shared" si="46"/>
        <v>25321.129999999997</v>
      </c>
      <c r="AD75" s="8">
        <f t="shared" si="47"/>
        <v>24354.01</v>
      </c>
      <c r="AE75" s="41"/>
    </row>
    <row r="76" spans="1:31" ht="18.75">
      <c r="A76" s="167" t="s">
        <v>12</v>
      </c>
      <c r="B76" s="146">
        <f t="shared" si="31"/>
        <v>86571.24000000022</v>
      </c>
      <c r="C76" s="1236">
        <v>50179.17</v>
      </c>
      <c r="D76" s="1236">
        <v>44257.34</v>
      </c>
      <c r="E76" s="78"/>
      <c r="F76" s="541">
        <f t="shared" si="36"/>
        <v>92493.07000000021</v>
      </c>
      <c r="G76" s="974">
        <f t="shared" si="32"/>
        <v>7241.9199999999955</v>
      </c>
      <c r="H76" s="1069">
        <v>583.65</v>
      </c>
      <c r="I76" s="969">
        <v>0</v>
      </c>
      <c r="J76" s="145">
        <f t="shared" si="37"/>
        <v>7825.569999999995</v>
      </c>
      <c r="K76" s="379">
        <f t="shared" si="33"/>
        <v>1508.3999999999985</v>
      </c>
      <c r="L76" s="526">
        <v>1722.24</v>
      </c>
      <c r="M76" s="526">
        <v>1722.24</v>
      </c>
      <c r="N76" s="121">
        <f t="shared" si="38"/>
        <v>1508.3999999999985</v>
      </c>
      <c r="O76" s="546">
        <f t="shared" si="34"/>
        <v>383.13000000000005</v>
      </c>
      <c r="P76" s="1230">
        <v>60.13</v>
      </c>
      <c r="Q76" s="129"/>
      <c r="R76" s="1230">
        <v>39.45</v>
      </c>
      <c r="S76" s="546">
        <f t="shared" si="39"/>
        <v>403.81000000000006</v>
      </c>
      <c r="T76" s="547">
        <f t="shared" si="40"/>
        <v>39.45</v>
      </c>
      <c r="U76" s="134">
        <f t="shared" si="41"/>
        <v>1722.24</v>
      </c>
      <c r="V76" s="134">
        <f t="shared" si="35"/>
        <v>0</v>
      </c>
      <c r="W76" s="547">
        <f t="shared" si="42"/>
        <v>1761.69</v>
      </c>
      <c r="X76" s="270">
        <f t="shared" si="43"/>
        <v>52545.189999999995</v>
      </c>
      <c r="Y76" s="270">
        <f t="shared" si="44"/>
        <v>46019.02999999999</v>
      </c>
      <c r="Z76" s="512">
        <f t="shared" si="45"/>
        <v>44296.78999999999</v>
      </c>
      <c r="AB76" s="1251" t="s">
        <v>12</v>
      </c>
      <c r="AC76" s="8">
        <f t="shared" si="46"/>
        <v>151585.43</v>
      </c>
      <c r="AD76" s="8">
        <f t="shared" si="47"/>
        <v>138879.37999999998</v>
      </c>
      <c r="AE76" s="41"/>
    </row>
    <row r="77" spans="1:31" ht="18.75">
      <c r="A77" s="167" t="s">
        <v>13</v>
      </c>
      <c r="B77" s="146">
        <f t="shared" si="31"/>
        <v>56769.55000000004</v>
      </c>
      <c r="C77" s="1236">
        <v>29644.07</v>
      </c>
      <c r="D77" s="1236">
        <v>28324.32</v>
      </c>
      <c r="E77" s="78"/>
      <c r="F77" s="541">
        <f t="shared" si="36"/>
        <v>58089.30000000004</v>
      </c>
      <c r="G77" s="974">
        <f t="shared" si="32"/>
        <v>2615.549999999999</v>
      </c>
      <c r="H77" s="1069">
        <v>196.74</v>
      </c>
      <c r="I77" s="969">
        <v>0</v>
      </c>
      <c r="J77" s="145">
        <f t="shared" si="37"/>
        <v>2812.289999999999</v>
      </c>
      <c r="K77" s="379">
        <f t="shared" si="33"/>
        <v>-2290.02</v>
      </c>
      <c r="L77" s="526">
        <v>727.77</v>
      </c>
      <c r="M77" s="526"/>
      <c r="N77" s="121">
        <f t="shared" si="38"/>
        <v>-1562.25</v>
      </c>
      <c r="O77" s="546">
        <f t="shared" si="34"/>
        <v>57.95000000000001</v>
      </c>
      <c r="P77" s="1230">
        <v>40.75</v>
      </c>
      <c r="Q77" s="129"/>
      <c r="R77" s="1230">
        <v>39.68</v>
      </c>
      <c r="S77" s="546">
        <f t="shared" si="39"/>
        <v>59.02000000000002</v>
      </c>
      <c r="T77" s="547">
        <f t="shared" si="40"/>
        <v>39.68</v>
      </c>
      <c r="U77" s="134">
        <f t="shared" si="41"/>
        <v>0</v>
      </c>
      <c r="V77" s="134">
        <f t="shared" si="35"/>
        <v>0</v>
      </c>
      <c r="W77" s="547">
        <f t="shared" si="42"/>
        <v>39.68</v>
      </c>
      <c r="X77" s="270">
        <f t="shared" si="43"/>
        <v>30609.33</v>
      </c>
      <c r="Y77" s="270">
        <f t="shared" si="44"/>
        <v>28364</v>
      </c>
      <c r="Z77" s="512">
        <f t="shared" si="45"/>
        <v>28364</v>
      </c>
      <c r="AB77" s="1251" t="s">
        <v>13</v>
      </c>
      <c r="AC77" s="8">
        <f t="shared" si="46"/>
        <v>88293.86</v>
      </c>
      <c r="AD77" s="8">
        <f t="shared" si="47"/>
        <v>86735.25</v>
      </c>
      <c r="AE77" s="41"/>
    </row>
    <row r="78" spans="1:31" ht="18.75">
      <c r="A78" s="167" t="s">
        <v>14</v>
      </c>
      <c r="B78" s="146">
        <f t="shared" si="31"/>
        <v>64998.00000000007</v>
      </c>
      <c r="C78" s="1236">
        <v>36574.19</v>
      </c>
      <c r="D78" s="1236">
        <v>33989.73</v>
      </c>
      <c r="E78" s="78"/>
      <c r="F78" s="541">
        <f t="shared" si="36"/>
        <v>67582.46000000008</v>
      </c>
      <c r="G78" s="974">
        <f t="shared" si="32"/>
        <v>3945.3199999999997</v>
      </c>
      <c r="H78" s="1069"/>
      <c r="I78" s="969">
        <v>0</v>
      </c>
      <c r="J78" s="145">
        <f t="shared" si="37"/>
        <v>3945.3199999999997</v>
      </c>
      <c r="K78" s="379">
        <f t="shared" si="33"/>
        <v>4939.549999999999</v>
      </c>
      <c r="L78" s="526">
        <v>2926</v>
      </c>
      <c r="M78" s="526">
        <v>2687.4</v>
      </c>
      <c r="N78" s="121">
        <f t="shared" si="38"/>
        <v>5178.15</v>
      </c>
      <c r="O78" s="546">
        <f t="shared" si="34"/>
        <v>-299.70000000000005</v>
      </c>
      <c r="P78" s="1230">
        <v>7.87</v>
      </c>
      <c r="Q78" s="129"/>
      <c r="R78" s="1230"/>
      <c r="S78" s="546">
        <f t="shared" si="39"/>
        <v>-291.83000000000004</v>
      </c>
      <c r="T78" s="547">
        <f t="shared" si="40"/>
        <v>0</v>
      </c>
      <c r="U78" s="134">
        <f t="shared" si="41"/>
        <v>2687.4</v>
      </c>
      <c r="V78" s="134">
        <f t="shared" si="35"/>
        <v>0</v>
      </c>
      <c r="W78" s="547">
        <f t="shared" si="42"/>
        <v>2687.4</v>
      </c>
      <c r="X78" s="270">
        <f t="shared" si="43"/>
        <v>39508.060000000005</v>
      </c>
      <c r="Y78" s="270">
        <f t="shared" si="44"/>
        <v>36677.130000000005</v>
      </c>
      <c r="Z78" s="512">
        <f t="shared" si="45"/>
        <v>33989.73</v>
      </c>
      <c r="AB78" s="1251" t="s">
        <v>14</v>
      </c>
      <c r="AC78" s="8">
        <f t="shared" si="46"/>
        <v>114144.07</v>
      </c>
      <c r="AD78" s="8">
        <f t="shared" si="47"/>
        <v>105067.08000000002</v>
      </c>
      <c r="AE78" s="41"/>
    </row>
    <row r="79" spans="1:31" ht="18.75">
      <c r="A79" s="167" t="s">
        <v>55</v>
      </c>
      <c r="B79" s="146">
        <f t="shared" si="31"/>
        <v>37566.34999999999</v>
      </c>
      <c r="C79" s="1236">
        <v>16293.14</v>
      </c>
      <c r="D79" s="1236">
        <v>18299</v>
      </c>
      <c r="E79" s="78"/>
      <c r="F79" s="541">
        <f t="shared" si="36"/>
        <v>35560.48999999999</v>
      </c>
      <c r="G79" s="974">
        <f t="shared" si="32"/>
        <v>2597</v>
      </c>
      <c r="H79" s="1069">
        <v>209.3</v>
      </c>
      <c r="I79" s="969">
        <v>0</v>
      </c>
      <c r="J79" s="145">
        <f t="shared" si="37"/>
        <v>2806.3</v>
      </c>
      <c r="K79" s="379">
        <f t="shared" si="33"/>
        <v>1068.5000000000023</v>
      </c>
      <c r="L79" s="526">
        <v>773.21</v>
      </c>
      <c r="M79" s="526">
        <v>352.82</v>
      </c>
      <c r="N79" s="121">
        <f t="shared" si="38"/>
        <v>1488.8900000000024</v>
      </c>
      <c r="O79" s="546">
        <f t="shared" si="34"/>
        <v>-763.87</v>
      </c>
      <c r="P79" s="1230">
        <v>0.48</v>
      </c>
      <c r="Q79" s="129"/>
      <c r="R79" s="1230">
        <v>0.48</v>
      </c>
      <c r="S79" s="546">
        <f t="shared" si="39"/>
        <v>-763.87</v>
      </c>
      <c r="T79" s="547">
        <f t="shared" si="40"/>
        <v>0.48</v>
      </c>
      <c r="U79" s="134">
        <f t="shared" si="41"/>
        <v>352.82</v>
      </c>
      <c r="V79" s="134">
        <f t="shared" si="35"/>
        <v>0</v>
      </c>
      <c r="W79" s="547">
        <f t="shared" si="42"/>
        <v>353.3</v>
      </c>
      <c r="X79" s="270">
        <f t="shared" si="43"/>
        <v>17276.129999999997</v>
      </c>
      <c r="Y79" s="270">
        <f t="shared" si="44"/>
        <v>18652.3</v>
      </c>
      <c r="Z79" s="512">
        <f t="shared" si="45"/>
        <v>18299.48</v>
      </c>
      <c r="AB79" s="1251" t="s">
        <v>55</v>
      </c>
      <c r="AC79" s="8">
        <f t="shared" si="46"/>
        <v>50016.479999999996</v>
      </c>
      <c r="AD79" s="8">
        <f t="shared" si="47"/>
        <v>68035.62</v>
      </c>
      <c r="AE79" s="41"/>
    </row>
    <row r="80" spans="1:31" ht="18.75">
      <c r="A80" s="167" t="s">
        <v>15</v>
      </c>
      <c r="B80" s="146">
        <f t="shared" si="31"/>
        <v>118801.93000000033</v>
      </c>
      <c r="C80" s="1236">
        <v>39158.89</v>
      </c>
      <c r="D80" s="1236">
        <v>41116.54</v>
      </c>
      <c r="E80" s="78"/>
      <c r="F80" s="541">
        <f t="shared" si="36"/>
        <v>116844.28000000032</v>
      </c>
      <c r="G80" s="974">
        <f t="shared" si="32"/>
        <v>0</v>
      </c>
      <c r="H80" s="1069"/>
      <c r="I80" s="969">
        <v>0</v>
      </c>
      <c r="J80" s="145">
        <f t="shared" si="37"/>
        <v>0</v>
      </c>
      <c r="K80" s="379">
        <f t="shared" si="33"/>
        <v>-288.3499999999999</v>
      </c>
      <c r="L80" s="526">
        <v>2209.01</v>
      </c>
      <c r="M80" s="526"/>
      <c r="N80" s="121">
        <f t="shared" si="38"/>
        <v>1920.6600000000003</v>
      </c>
      <c r="O80" s="546">
        <f t="shared" si="34"/>
        <v>454.6799999999998</v>
      </c>
      <c r="P80" s="1230">
        <v>90.79</v>
      </c>
      <c r="Q80" s="129"/>
      <c r="R80" s="1230">
        <v>92.76</v>
      </c>
      <c r="S80" s="546">
        <f t="shared" si="39"/>
        <v>452.7099999999998</v>
      </c>
      <c r="T80" s="547">
        <f t="shared" si="40"/>
        <v>92.76</v>
      </c>
      <c r="U80" s="134">
        <f t="shared" si="41"/>
        <v>0</v>
      </c>
      <c r="V80" s="134">
        <f t="shared" si="35"/>
        <v>0</v>
      </c>
      <c r="W80" s="547">
        <f t="shared" si="42"/>
        <v>92.76</v>
      </c>
      <c r="X80" s="270">
        <f t="shared" si="43"/>
        <v>41458.69</v>
      </c>
      <c r="Y80" s="270">
        <f t="shared" si="44"/>
        <v>41209.3</v>
      </c>
      <c r="Z80" s="512">
        <f t="shared" si="45"/>
        <v>41209.3</v>
      </c>
      <c r="AB80" s="1251" t="s">
        <v>15</v>
      </c>
      <c r="AC80" s="8">
        <f t="shared" si="46"/>
        <v>119685.3</v>
      </c>
      <c r="AD80" s="8">
        <f t="shared" si="47"/>
        <v>116047.41</v>
      </c>
      <c r="AE80" s="41"/>
    </row>
    <row r="81" spans="1:31" ht="18.75">
      <c r="A81" s="167" t="s">
        <v>16</v>
      </c>
      <c r="B81" s="146">
        <f t="shared" si="31"/>
        <v>37835.76000000007</v>
      </c>
      <c r="C81" s="1236">
        <v>31868.05</v>
      </c>
      <c r="D81" s="1236">
        <v>34705.56</v>
      </c>
      <c r="E81" s="78"/>
      <c r="F81" s="541">
        <f t="shared" si="36"/>
        <v>34998.25000000007</v>
      </c>
      <c r="G81" s="974">
        <f t="shared" si="32"/>
        <v>0</v>
      </c>
      <c r="H81" s="1069"/>
      <c r="I81" s="969">
        <v>0</v>
      </c>
      <c r="J81" s="145">
        <f t="shared" si="37"/>
        <v>0</v>
      </c>
      <c r="K81" s="379">
        <f t="shared" si="33"/>
        <v>1492.1800000000019</v>
      </c>
      <c r="L81" s="526">
        <v>328.3</v>
      </c>
      <c r="M81" s="526"/>
      <c r="N81" s="121">
        <f t="shared" si="38"/>
        <v>1820.4800000000018</v>
      </c>
      <c r="O81" s="546">
        <f t="shared" si="34"/>
        <v>81.15999999999998</v>
      </c>
      <c r="P81" s="1230">
        <v>102.15</v>
      </c>
      <c r="Q81" s="129"/>
      <c r="R81" s="1230">
        <v>102.15</v>
      </c>
      <c r="S81" s="546">
        <f t="shared" si="39"/>
        <v>81.16</v>
      </c>
      <c r="T81" s="547">
        <f t="shared" si="40"/>
        <v>102.15</v>
      </c>
      <c r="U81" s="134">
        <f t="shared" si="41"/>
        <v>0</v>
      </c>
      <c r="V81" s="134">
        <f t="shared" si="35"/>
        <v>0</v>
      </c>
      <c r="W81" s="547">
        <f t="shared" si="42"/>
        <v>102.15</v>
      </c>
      <c r="X81" s="270">
        <f t="shared" si="43"/>
        <v>32298.5</v>
      </c>
      <c r="Y81" s="270">
        <f t="shared" si="44"/>
        <v>34807.71</v>
      </c>
      <c r="Z81" s="512">
        <f t="shared" si="45"/>
        <v>34807.71</v>
      </c>
      <c r="AB81" s="1251" t="s">
        <v>16</v>
      </c>
      <c r="AC81" s="8">
        <f t="shared" si="46"/>
        <v>93049.57</v>
      </c>
      <c r="AD81" s="8">
        <f t="shared" si="47"/>
        <v>92339.86000000002</v>
      </c>
      <c r="AE81" s="41"/>
    </row>
    <row r="82" spans="1:31" ht="18.75">
      <c r="A82" s="73" t="s">
        <v>17</v>
      </c>
      <c r="B82" s="146">
        <f t="shared" si="31"/>
        <v>59903.0600000003</v>
      </c>
      <c r="C82" s="1236">
        <v>41492.76</v>
      </c>
      <c r="D82" s="1236">
        <v>39807.62</v>
      </c>
      <c r="E82" s="78"/>
      <c r="F82" s="541">
        <f t="shared" si="36"/>
        <v>61588.200000000295</v>
      </c>
      <c r="G82" s="974">
        <f t="shared" si="32"/>
        <v>5156.9000000000015</v>
      </c>
      <c r="H82" s="1069">
        <v>415.61</v>
      </c>
      <c r="I82" s="969">
        <v>0</v>
      </c>
      <c r="J82" s="145">
        <f t="shared" si="37"/>
        <v>5572.510000000001</v>
      </c>
      <c r="K82" s="379">
        <f t="shared" si="33"/>
        <v>-79.49000000000024</v>
      </c>
      <c r="L82" s="526">
        <v>699.06</v>
      </c>
      <c r="M82" s="526"/>
      <c r="N82" s="121">
        <f t="shared" si="38"/>
        <v>619.5699999999997</v>
      </c>
      <c r="O82" s="546">
        <f t="shared" si="34"/>
        <v>56.17000000000003</v>
      </c>
      <c r="P82" s="1230">
        <v>17.51</v>
      </c>
      <c r="Q82" s="129"/>
      <c r="R82" s="1230"/>
      <c r="S82" s="546">
        <f t="shared" si="39"/>
        <v>73.68000000000004</v>
      </c>
      <c r="T82" s="547">
        <f t="shared" si="40"/>
        <v>0</v>
      </c>
      <c r="U82" s="134">
        <f t="shared" si="41"/>
        <v>0</v>
      </c>
      <c r="V82" s="134">
        <f t="shared" si="35"/>
        <v>0</v>
      </c>
      <c r="W82" s="547">
        <f t="shared" si="42"/>
        <v>0</v>
      </c>
      <c r="X82" s="270">
        <f t="shared" si="43"/>
        <v>42624.94</v>
      </c>
      <c r="Y82" s="270">
        <f t="shared" si="44"/>
        <v>39807.62</v>
      </c>
      <c r="Z82" s="512">
        <f t="shared" si="45"/>
        <v>39807.62</v>
      </c>
      <c r="AB82" s="1251" t="s">
        <v>17</v>
      </c>
      <c r="AC82" s="8">
        <f t="shared" si="46"/>
        <v>122998.23000000001</v>
      </c>
      <c r="AD82" s="8">
        <f t="shared" si="47"/>
        <v>119447.18</v>
      </c>
      <c r="AE82" s="41"/>
    </row>
    <row r="83" spans="1:31" ht="18.75">
      <c r="A83" s="73" t="s">
        <v>18</v>
      </c>
      <c r="B83" s="146">
        <f t="shared" si="31"/>
        <v>176069.90000000008</v>
      </c>
      <c r="C83" s="1236">
        <v>88445.42</v>
      </c>
      <c r="D83" s="1236">
        <v>88593.37</v>
      </c>
      <c r="E83" s="78"/>
      <c r="F83" s="541">
        <f t="shared" si="36"/>
        <v>175921.95000000007</v>
      </c>
      <c r="G83" s="974">
        <f t="shared" si="32"/>
        <v>840.0499999999986</v>
      </c>
      <c r="H83" s="1069"/>
      <c r="I83" s="969">
        <v>0</v>
      </c>
      <c r="J83" s="145">
        <f t="shared" si="37"/>
        <v>840.0499999999986</v>
      </c>
      <c r="K83" s="379">
        <f t="shared" si="33"/>
        <v>1818.0799999999995</v>
      </c>
      <c r="L83" s="526">
        <v>2504.43</v>
      </c>
      <c r="M83" s="526">
        <v>1549.42</v>
      </c>
      <c r="N83" s="121">
        <f t="shared" si="38"/>
        <v>2773.0899999999992</v>
      </c>
      <c r="O83" s="546">
        <f t="shared" si="34"/>
        <v>522.2800000000001</v>
      </c>
      <c r="P83" s="1230">
        <v>373.75</v>
      </c>
      <c r="Q83" s="129"/>
      <c r="R83" s="1230">
        <v>327.79</v>
      </c>
      <c r="S83" s="546">
        <f t="shared" si="39"/>
        <v>568.24</v>
      </c>
      <c r="T83" s="547">
        <f t="shared" si="40"/>
        <v>327.79</v>
      </c>
      <c r="U83" s="134">
        <f t="shared" si="41"/>
        <v>1549.42</v>
      </c>
      <c r="V83" s="134">
        <f t="shared" si="35"/>
        <v>0</v>
      </c>
      <c r="W83" s="547">
        <f t="shared" si="42"/>
        <v>1877.21</v>
      </c>
      <c r="X83" s="270">
        <f t="shared" si="43"/>
        <v>91323.59999999999</v>
      </c>
      <c r="Y83" s="270">
        <f t="shared" si="44"/>
        <v>90470.57999999999</v>
      </c>
      <c r="Z83" s="512">
        <f t="shared" si="45"/>
        <v>88921.15999999999</v>
      </c>
      <c r="AB83" s="1251" t="s">
        <v>18</v>
      </c>
      <c r="AC83" s="8">
        <f t="shared" si="46"/>
        <v>263255.41</v>
      </c>
      <c r="AD83" s="8">
        <f t="shared" si="47"/>
        <v>257273.71</v>
      </c>
      <c r="AE83" s="41"/>
    </row>
    <row r="84" spans="1:31" ht="18.75">
      <c r="A84" s="176" t="s">
        <v>54</v>
      </c>
      <c r="B84" s="146">
        <f t="shared" si="31"/>
        <v>57882.74000000036</v>
      </c>
      <c r="C84" s="1236">
        <v>37931.1</v>
      </c>
      <c r="D84" s="1236">
        <v>36489.2</v>
      </c>
      <c r="E84" s="78"/>
      <c r="F84" s="541">
        <f t="shared" si="36"/>
        <v>59324.64000000036</v>
      </c>
      <c r="G84" s="974">
        <f t="shared" si="32"/>
        <v>4567.420000000003</v>
      </c>
      <c r="H84" s="1069">
        <v>295.41</v>
      </c>
      <c r="I84" s="969">
        <v>0</v>
      </c>
      <c r="J84" s="145">
        <f t="shared" si="37"/>
        <v>4862.830000000003</v>
      </c>
      <c r="K84" s="379">
        <f t="shared" si="33"/>
        <v>0</v>
      </c>
      <c r="L84" s="526"/>
      <c r="M84" s="526"/>
      <c r="N84" s="121">
        <f t="shared" si="38"/>
        <v>0</v>
      </c>
      <c r="O84" s="546">
        <f t="shared" si="34"/>
        <v>-1074.53</v>
      </c>
      <c r="P84" s="1230">
        <v>17.31</v>
      </c>
      <c r="Q84" s="129"/>
      <c r="R84" s="1230">
        <v>17.35</v>
      </c>
      <c r="S84" s="546">
        <f t="shared" si="39"/>
        <v>-1074.57</v>
      </c>
      <c r="T84" s="547">
        <f t="shared" si="40"/>
        <v>17.35</v>
      </c>
      <c r="U84" s="134">
        <f t="shared" si="41"/>
        <v>0</v>
      </c>
      <c r="V84" s="134">
        <f t="shared" si="35"/>
        <v>0</v>
      </c>
      <c r="W84" s="547">
        <f t="shared" si="42"/>
        <v>17.35</v>
      </c>
      <c r="X84" s="270">
        <f t="shared" si="43"/>
        <v>38243.82</v>
      </c>
      <c r="Y84" s="270">
        <f t="shared" si="44"/>
        <v>36506.549999999996</v>
      </c>
      <c r="Z84" s="512">
        <f t="shared" si="45"/>
        <v>36506.549999999996</v>
      </c>
      <c r="AB84" s="1251" t="s">
        <v>54</v>
      </c>
      <c r="AC84" s="8">
        <f t="shared" si="46"/>
        <v>110502.45999999999</v>
      </c>
      <c r="AD84" s="8">
        <f t="shared" si="47"/>
        <v>108587.53999999998</v>
      </c>
      <c r="AE84" s="41"/>
    </row>
    <row r="85" spans="1:31" ht="18.75">
      <c r="A85" s="176" t="s">
        <v>49</v>
      </c>
      <c r="B85" s="146">
        <f t="shared" si="31"/>
        <v>199507.72000000015</v>
      </c>
      <c r="C85" s="1236">
        <v>80664.83</v>
      </c>
      <c r="D85" s="1236">
        <v>74698.71</v>
      </c>
      <c r="E85" s="78"/>
      <c r="F85" s="541">
        <f t="shared" si="36"/>
        <v>205473.84000000014</v>
      </c>
      <c r="G85" s="974">
        <f t="shared" si="32"/>
        <v>11441.640000000001</v>
      </c>
      <c r="H85" s="1069">
        <v>922.12</v>
      </c>
      <c r="I85" s="969">
        <v>0</v>
      </c>
      <c r="J85" s="145">
        <f t="shared" si="37"/>
        <v>12363.760000000002</v>
      </c>
      <c r="K85" s="379">
        <f t="shared" si="33"/>
        <v>4202.900000000003</v>
      </c>
      <c r="L85" s="526">
        <v>3411.59</v>
      </c>
      <c r="M85" s="526">
        <v>1945.29</v>
      </c>
      <c r="N85" s="121">
        <f t="shared" si="38"/>
        <v>5669.2000000000035</v>
      </c>
      <c r="O85" s="546">
        <f t="shared" si="34"/>
        <v>-831.2500000000001</v>
      </c>
      <c r="P85" s="1230">
        <v>96.7</v>
      </c>
      <c r="Q85" s="129"/>
      <c r="R85" s="1230">
        <v>86.32</v>
      </c>
      <c r="S85" s="546">
        <f t="shared" si="39"/>
        <v>-820.8700000000001</v>
      </c>
      <c r="T85" s="547">
        <f t="shared" si="40"/>
        <v>86.32</v>
      </c>
      <c r="U85" s="134">
        <f t="shared" si="41"/>
        <v>1945.29</v>
      </c>
      <c r="V85" s="134">
        <f t="shared" si="35"/>
        <v>0</v>
      </c>
      <c r="W85" s="547">
        <f t="shared" si="42"/>
        <v>2031.61</v>
      </c>
      <c r="X85" s="270">
        <f t="shared" si="43"/>
        <v>85095.23999999999</v>
      </c>
      <c r="Y85" s="270">
        <f t="shared" si="44"/>
        <v>76730.32</v>
      </c>
      <c r="Z85" s="512">
        <f t="shared" si="45"/>
        <v>74785.03000000001</v>
      </c>
      <c r="AB85" s="1251" t="s">
        <v>49</v>
      </c>
      <c r="AC85" s="8">
        <f t="shared" si="46"/>
        <v>246188.69</v>
      </c>
      <c r="AD85" s="8">
        <f t="shared" si="47"/>
        <v>240295.02000000002</v>
      </c>
      <c r="AE85" s="41"/>
    </row>
    <row r="86" spans="1:31" ht="18.75">
      <c r="A86" s="176" t="s">
        <v>19</v>
      </c>
      <c r="B86" s="146">
        <f t="shared" si="31"/>
        <v>91766.19999999995</v>
      </c>
      <c r="C86" s="1236">
        <v>59520.69</v>
      </c>
      <c r="D86" s="1236">
        <v>52088.33</v>
      </c>
      <c r="E86" s="78"/>
      <c r="F86" s="541">
        <f t="shared" si="36"/>
        <v>99198.55999999995</v>
      </c>
      <c r="G86" s="974">
        <f t="shared" si="32"/>
        <v>5399.229999999998</v>
      </c>
      <c r="H86" s="1069">
        <v>402.45</v>
      </c>
      <c r="I86" s="969">
        <v>0</v>
      </c>
      <c r="J86" s="145">
        <f t="shared" si="37"/>
        <v>5801.679999999998</v>
      </c>
      <c r="K86" s="379">
        <f t="shared" si="33"/>
        <v>1902.8500000000008</v>
      </c>
      <c r="L86" s="526">
        <v>1175.67</v>
      </c>
      <c r="M86" s="526">
        <v>420.39</v>
      </c>
      <c r="N86" s="121">
        <f t="shared" si="38"/>
        <v>2658.130000000001</v>
      </c>
      <c r="O86" s="546">
        <f t="shared" si="34"/>
        <v>347.44000000000034</v>
      </c>
      <c r="P86" s="1230">
        <v>32.19</v>
      </c>
      <c r="Q86" s="129"/>
      <c r="R86" s="1230">
        <v>140.22</v>
      </c>
      <c r="S86" s="546">
        <f t="shared" si="39"/>
        <v>239.41000000000034</v>
      </c>
      <c r="T86" s="547">
        <f t="shared" si="40"/>
        <v>140.22</v>
      </c>
      <c r="U86" s="134">
        <f t="shared" si="41"/>
        <v>420.39</v>
      </c>
      <c r="V86" s="134">
        <f t="shared" si="35"/>
        <v>0</v>
      </c>
      <c r="W86" s="547">
        <f t="shared" si="42"/>
        <v>560.61</v>
      </c>
      <c r="X86" s="270">
        <f t="shared" si="43"/>
        <v>61131</v>
      </c>
      <c r="Y86" s="270">
        <f t="shared" si="44"/>
        <v>52648.94</v>
      </c>
      <c r="Z86" s="512">
        <f t="shared" si="45"/>
        <v>52228.55</v>
      </c>
      <c r="AB86" s="1251" t="s">
        <v>19</v>
      </c>
      <c r="AC86" s="8">
        <f t="shared" si="46"/>
        <v>176691.13</v>
      </c>
      <c r="AD86" s="8">
        <f t="shared" si="47"/>
        <v>161480.72</v>
      </c>
      <c r="AE86" s="41"/>
    </row>
    <row r="87" spans="1:31" ht="18.75">
      <c r="A87" s="177" t="s">
        <v>20</v>
      </c>
      <c r="B87" s="146">
        <f t="shared" si="31"/>
        <v>72859.77000000008</v>
      </c>
      <c r="C87" s="1237">
        <v>38671.41</v>
      </c>
      <c r="D87" s="1237">
        <v>40888.23</v>
      </c>
      <c r="E87" s="132"/>
      <c r="F87" s="541">
        <f t="shared" si="36"/>
        <v>70642.95000000007</v>
      </c>
      <c r="G87" s="974">
        <f t="shared" si="32"/>
        <v>0</v>
      </c>
      <c r="H87" s="1071"/>
      <c r="I87" s="969">
        <v>0</v>
      </c>
      <c r="J87" s="145">
        <f t="shared" si="37"/>
        <v>0</v>
      </c>
      <c r="K87" s="379">
        <f t="shared" si="33"/>
        <v>3766.87</v>
      </c>
      <c r="L87" s="529">
        <v>777.4</v>
      </c>
      <c r="M87" s="529">
        <v>1378</v>
      </c>
      <c r="N87" s="121">
        <f t="shared" si="38"/>
        <v>3166.2699999999995</v>
      </c>
      <c r="O87" s="546">
        <f t="shared" si="34"/>
        <v>105.80999999999995</v>
      </c>
      <c r="P87" s="1231">
        <v>146.1</v>
      </c>
      <c r="Q87" s="133"/>
      <c r="R87" s="1231">
        <v>62.48</v>
      </c>
      <c r="S87" s="546">
        <f t="shared" si="39"/>
        <v>189.42999999999995</v>
      </c>
      <c r="T87" s="547">
        <f t="shared" si="40"/>
        <v>62.48</v>
      </c>
      <c r="U87" s="134">
        <f t="shared" si="41"/>
        <v>1378</v>
      </c>
      <c r="V87" s="134">
        <f t="shared" si="35"/>
        <v>0</v>
      </c>
      <c r="W87" s="547">
        <f t="shared" si="42"/>
        <v>1440.48</v>
      </c>
      <c r="X87" s="270">
        <f t="shared" si="43"/>
        <v>39594.91</v>
      </c>
      <c r="Y87" s="270">
        <f t="shared" si="44"/>
        <v>42328.71000000001</v>
      </c>
      <c r="Z87" s="512">
        <f t="shared" si="45"/>
        <v>40950.71000000001</v>
      </c>
      <c r="AB87" s="1251" t="s">
        <v>20</v>
      </c>
      <c r="AC87" s="8">
        <f t="shared" si="46"/>
        <v>113949.70000000001</v>
      </c>
      <c r="AD87" s="8">
        <f t="shared" si="47"/>
        <v>113185.95000000001</v>
      </c>
      <c r="AE87" s="41"/>
    </row>
    <row r="88" spans="1:31" ht="25.5" customHeight="1">
      <c r="A88" s="391" t="s">
        <v>114</v>
      </c>
      <c r="B88" s="146">
        <f t="shared" si="31"/>
        <v>-445641.7600000005</v>
      </c>
      <c r="C88" s="1238">
        <v>47200.74</v>
      </c>
      <c r="D88" s="1238">
        <v>44790.65</v>
      </c>
      <c r="E88" s="389"/>
      <c r="F88" s="541">
        <f t="shared" si="36"/>
        <v>-443231.6700000005</v>
      </c>
      <c r="G88" s="974">
        <f t="shared" si="32"/>
        <v>268.71</v>
      </c>
      <c r="H88" s="1070">
        <v>303.19</v>
      </c>
      <c r="I88" s="969">
        <v>0</v>
      </c>
      <c r="J88" s="145">
        <f t="shared" si="37"/>
        <v>571.9</v>
      </c>
      <c r="K88" s="379">
        <f t="shared" si="33"/>
        <v>1603.84</v>
      </c>
      <c r="L88" s="977">
        <v>1603.84</v>
      </c>
      <c r="M88" s="529">
        <v>1603.84</v>
      </c>
      <c r="N88" s="121">
        <f t="shared" si="38"/>
        <v>1603.84</v>
      </c>
      <c r="O88" s="546">
        <f t="shared" si="34"/>
        <v>1.2299999999999969</v>
      </c>
      <c r="P88" s="1231">
        <v>19.35</v>
      </c>
      <c r="Q88" s="133"/>
      <c r="R88" s="1231">
        <v>35.51</v>
      </c>
      <c r="S88" s="546">
        <f t="shared" si="39"/>
        <v>-14.93</v>
      </c>
      <c r="T88" s="547">
        <f t="shared" si="40"/>
        <v>35.51</v>
      </c>
      <c r="U88" s="134">
        <f t="shared" si="41"/>
        <v>1603.84</v>
      </c>
      <c r="V88" s="134">
        <f t="shared" si="35"/>
        <v>0</v>
      </c>
      <c r="W88" s="547">
        <f t="shared" si="42"/>
        <v>1639.35</v>
      </c>
      <c r="X88" s="270">
        <f t="shared" si="43"/>
        <v>49127.119999999995</v>
      </c>
      <c r="Y88" s="270">
        <f t="shared" si="44"/>
        <v>46430</v>
      </c>
      <c r="Z88" s="512">
        <f t="shared" si="45"/>
        <v>44826.16</v>
      </c>
      <c r="AB88" s="1252" t="s">
        <v>114</v>
      </c>
      <c r="AC88" s="8">
        <f t="shared" si="46"/>
        <v>141857.75999999998</v>
      </c>
      <c r="AD88" s="8">
        <f t="shared" si="47"/>
        <v>138481.72</v>
      </c>
      <c r="AE88" s="41"/>
    </row>
    <row r="89" spans="1:31" ht="24.75" customHeight="1">
      <c r="A89" s="392" t="s">
        <v>118</v>
      </c>
      <c r="B89" s="146">
        <f t="shared" si="31"/>
        <v>24161.629999999932</v>
      </c>
      <c r="C89" s="1238">
        <v>16815.18</v>
      </c>
      <c r="D89" s="1238">
        <v>16297.45</v>
      </c>
      <c r="E89" s="390"/>
      <c r="F89" s="541">
        <f t="shared" si="36"/>
        <v>24679.35999999993</v>
      </c>
      <c r="G89" s="974">
        <f t="shared" si="32"/>
        <v>0</v>
      </c>
      <c r="H89" s="1112"/>
      <c r="I89" s="969">
        <v>0</v>
      </c>
      <c r="J89" s="145">
        <f t="shared" si="37"/>
        <v>0</v>
      </c>
      <c r="K89" s="379">
        <f t="shared" si="33"/>
        <v>0</v>
      </c>
      <c r="L89" s="965">
        <v>0</v>
      </c>
      <c r="M89" s="529"/>
      <c r="N89" s="121">
        <f t="shared" si="38"/>
        <v>0</v>
      </c>
      <c r="O89" s="546">
        <f t="shared" si="34"/>
        <v>4.239999999999995</v>
      </c>
      <c r="P89" s="1231">
        <v>22.36</v>
      </c>
      <c r="Q89" s="133"/>
      <c r="R89" s="1231">
        <v>33.88</v>
      </c>
      <c r="S89" s="546">
        <f t="shared" si="39"/>
        <v>-7.280000000000008</v>
      </c>
      <c r="T89" s="547">
        <f t="shared" si="40"/>
        <v>33.88</v>
      </c>
      <c r="U89" s="134">
        <f t="shared" si="41"/>
        <v>0</v>
      </c>
      <c r="V89" s="134">
        <f t="shared" si="35"/>
        <v>0</v>
      </c>
      <c r="W89" s="547">
        <f t="shared" si="42"/>
        <v>33.88</v>
      </c>
      <c r="X89" s="270">
        <f t="shared" si="43"/>
        <v>16837.54</v>
      </c>
      <c r="Y89" s="270">
        <f t="shared" si="44"/>
        <v>16331.33</v>
      </c>
      <c r="Z89" s="512">
        <f t="shared" si="45"/>
        <v>16331.33</v>
      </c>
      <c r="AB89" s="1253" t="s">
        <v>118</v>
      </c>
      <c r="AC89" s="8">
        <f t="shared" si="46"/>
        <v>48630.36</v>
      </c>
      <c r="AD89" s="8">
        <f t="shared" si="47"/>
        <v>44970.99</v>
      </c>
      <c r="AE89" s="41"/>
    </row>
    <row r="90" spans="1:31" ht="24.75" customHeight="1">
      <c r="A90" s="73" t="s">
        <v>188</v>
      </c>
      <c r="B90" s="146">
        <f t="shared" si="31"/>
        <v>21044.359999999935</v>
      </c>
      <c r="C90" s="1238">
        <v>44625.71</v>
      </c>
      <c r="D90" s="1238">
        <v>42638.88</v>
      </c>
      <c r="E90" s="390"/>
      <c r="F90" s="541">
        <f t="shared" si="36"/>
        <v>23031.189999999937</v>
      </c>
      <c r="G90" s="974">
        <f t="shared" si="32"/>
        <v>2712.54</v>
      </c>
      <c r="H90" s="1112">
        <v>382.12</v>
      </c>
      <c r="I90" s="969">
        <v>0</v>
      </c>
      <c r="J90" s="145">
        <f t="shared" si="37"/>
        <v>3094.66</v>
      </c>
      <c r="K90" s="379">
        <f t="shared" si="33"/>
        <v>5058.470000000002</v>
      </c>
      <c r="L90" s="965">
        <v>1649.28</v>
      </c>
      <c r="M90" s="529">
        <v>490.96</v>
      </c>
      <c r="N90" s="121">
        <f t="shared" si="38"/>
        <v>6216.790000000002</v>
      </c>
      <c r="O90" s="546">
        <f t="shared" si="34"/>
        <v>-4838.9800000000005</v>
      </c>
      <c r="P90" s="1231">
        <v>75.89</v>
      </c>
      <c r="Q90" s="133"/>
      <c r="R90" s="1231">
        <v>79.66</v>
      </c>
      <c r="S90" s="546">
        <f t="shared" si="39"/>
        <v>-4842.75</v>
      </c>
      <c r="T90" s="547">
        <f t="shared" si="40"/>
        <v>79.66</v>
      </c>
      <c r="U90" s="134">
        <f t="shared" si="41"/>
        <v>490.96</v>
      </c>
      <c r="V90" s="134">
        <f t="shared" si="35"/>
        <v>0</v>
      </c>
      <c r="W90" s="547">
        <f t="shared" si="42"/>
        <v>570.62</v>
      </c>
      <c r="X90" s="270">
        <f t="shared" si="43"/>
        <v>46733</v>
      </c>
      <c r="Y90" s="270">
        <f t="shared" si="44"/>
        <v>43209.5</v>
      </c>
      <c r="Z90" s="512">
        <f t="shared" si="45"/>
        <v>42718.54</v>
      </c>
      <c r="AB90" s="1254" t="s">
        <v>188</v>
      </c>
      <c r="AC90" s="8">
        <f t="shared" si="46"/>
        <v>134842.75</v>
      </c>
      <c r="AD90" s="8">
        <f t="shared" si="47"/>
        <v>128974.6</v>
      </c>
      <c r="AE90" s="41"/>
    </row>
    <row r="91" spans="1:31" ht="24.75" customHeight="1">
      <c r="A91" s="73" t="s">
        <v>189</v>
      </c>
      <c r="B91" s="146">
        <f t="shared" si="31"/>
        <v>94114.08</v>
      </c>
      <c r="C91" s="1238">
        <v>51918.68</v>
      </c>
      <c r="D91" s="1238">
        <v>60777.74</v>
      </c>
      <c r="E91" s="390"/>
      <c r="F91" s="541">
        <f t="shared" si="36"/>
        <v>85255.02000000002</v>
      </c>
      <c r="G91" s="974">
        <f t="shared" si="32"/>
        <v>8117.48</v>
      </c>
      <c r="H91" s="1112">
        <v>2127.68</v>
      </c>
      <c r="I91" s="969">
        <v>0</v>
      </c>
      <c r="J91" s="145">
        <f t="shared" si="37"/>
        <v>10245.16</v>
      </c>
      <c r="K91" s="379">
        <f t="shared" si="33"/>
        <v>-16528.399999999998</v>
      </c>
      <c r="L91" s="965">
        <v>791.15</v>
      </c>
      <c r="M91" s="529">
        <v>1402.38</v>
      </c>
      <c r="N91" s="121">
        <f t="shared" si="38"/>
        <v>-17139.629999999997</v>
      </c>
      <c r="O91" s="546">
        <f t="shared" si="34"/>
        <v>-45090.259999999995</v>
      </c>
      <c r="P91" s="1231">
        <v>137.36</v>
      </c>
      <c r="Q91" s="133"/>
      <c r="R91" s="1231">
        <f>176.29+612.63</f>
        <v>788.92</v>
      </c>
      <c r="S91" s="546">
        <f t="shared" si="39"/>
        <v>-45741.81999999999</v>
      </c>
      <c r="T91" s="547">
        <f t="shared" si="40"/>
        <v>788.92</v>
      </c>
      <c r="U91" s="134">
        <f t="shared" si="41"/>
        <v>1402.38</v>
      </c>
      <c r="V91" s="134">
        <f t="shared" si="35"/>
        <v>0</v>
      </c>
      <c r="W91" s="547">
        <f t="shared" si="42"/>
        <v>2191.3</v>
      </c>
      <c r="X91" s="270">
        <f t="shared" si="43"/>
        <v>54974.87</v>
      </c>
      <c r="Y91" s="270">
        <f t="shared" si="44"/>
        <v>62969.03999999999</v>
      </c>
      <c r="Z91" s="512">
        <f t="shared" si="45"/>
        <v>61566.659999999996</v>
      </c>
      <c r="AB91" s="1251" t="s">
        <v>189</v>
      </c>
      <c r="AC91" s="8">
        <f t="shared" si="46"/>
        <v>160064.57</v>
      </c>
      <c r="AD91" s="8">
        <f t="shared" si="47"/>
        <v>167161.31</v>
      </c>
      <c r="AE91" s="41"/>
    </row>
    <row r="92" spans="1:31" ht="24.75" customHeight="1">
      <c r="A92" s="73" t="s">
        <v>218</v>
      </c>
      <c r="B92" s="146">
        <f t="shared" si="31"/>
        <v>112369.60000000002</v>
      </c>
      <c r="C92" s="1238">
        <v>47756.29</v>
      </c>
      <c r="D92" s="1238">
        <v>46317.88</v>
      </c>
      <c r="E92" s="390"/>
      <c r="F92" s="541">
        <f t="shared" si="36"/>
        <v>113808.01000000001</v>
      </c>
      <c r="G92" s="974">
        <f t="shared" si="32"/>
        <v>0</v>
      </c>
      <c r="H92" s="1112"/>
      <c r="I92" s="969">
        <v>0</v>
      </c>
      <c r="J92" s="145">
        <f t="shared" si="37"/>
        <v>0</v>
      </c>
      <c r="K92" s="379">
        <f t="shared" si="33"/>
        <v>-62945.81</v>
      </c>
      <c r="L92" s="965">
        <v>0</v>
      </c>
      <c r="M92" s="529"/>
      <c r="N92" s="121">
        <f t="shared" si="38"/>
        <v>-62945.81</v>
      </c>
      <c r="O92" s="546">
        <f t="shared" si="34"/>
        <v>-58550.85000000001</v>
      </c>
      <c r="P92" s="1231">
        <v>17.93</v>
      </c>
      <c r="Q92" s="133"/>
      <c r="R92" s="1231">
        <v>17.8</v>
      </c>
      <c r="S92" s="546">
        <f t="shared" si="39"/>
        <v>-58550.720000000016</v>
      </c>
      <c r="T92" s="547">
        <f t="shared" si="40"/>
        <v>17.8</v>
      </c>
      <c r="U92" s="134">
        <f t="shared" si="41"/>
        <v>0</v>
      </c>
      <c r="V92" s="134">
        <f t="shared" si="35"/>
        <v>0</v>
      </c>
      <c r="W92" s="547">
        <f t="shared" si="42"/>
        <v>17.8</v>
      </c>
      <c r="X92" s="270">
        <f t="shared" si="43"/>
        <v>47774.22</v>
      </c>
      <c r="Y92" s="270">
        <f t="shared" si="44"/>
        <v>46335.68</v>
      </c>
      <c r="Z92" s="512">
        <f t="shared" si="45"/>
        <v>46335.68</v>
      </c>
      <c r="AB92" s="1251" t="s">
        <v>218</v>
      </c>
      <c r="AC92" s="8">
        <f t="shared" si="46"/>
        <v>140872.38</v>
      </c>
      <c r="AD92" s="8">
        <f t="shared" si="47"/>
        <v>135455.11</v>
      </c>
      <c r="AE92" s="41"/>
    </row>
    <row r="93" spans="1:31" ht="24.75" customHeight="1">
      <c r="A93" s="73" t="s">
        <v>238</v>
      </c>
      <c r="B93" s="146">
        <f t="shared" si="31"/>
        <v>64894.00000000001</v>
      </c>
      <c r="C93" s="1238">
        <v>17768.29</v>
      </c>
      <c r="D93" s="1238">
        <v>18253.61</v>
      </c>
      <c r="E93" s="390"/>
      <c r="F93" s="541">
        <f t="shared" si="36"/>
        <v>64408.68000000001</v>
      </c>
      <c r="G93" s="974">
        <f t="shared" si="32"/>
        <v>0</v>
      </c>
      <c r="H93" s="1112"/>
      <c r="I93" s="969">
        <v>0</v>
      </c>
      <c r="J93" s="145">
        <f t="shared" si="37"/>
        <v>0</v>
      </c>
      <c r="K93" s="379">
        <f t="shared" si="33"/>
        <v>0</v>
      </c>
      <c r="L93" s="965">
        <v>0</v>
      </c>
      <c r="M93" s="381"/>
      <c r="N93" s="121">
        <f t="shared" si="38"/>
        <v>0</v>
      </c>
      <c r="O93" s="546">
        <f t="shared" si="34"/>
        <v>33.77000000000001</v>
      </c>
      <c r="P93" s="1231">
        <v>86.2</v>
      </c>
      <c r="Q93" s="133"/>
      <c r="R93" s="1231">
        <v>81.8</v>
      </c>
      <c r="S93" s="546">
        <f t="shared" si="39"/>
        <v>38.170000000000016</v>
      </c>
      <c r="T93" s="547">
        <f t="shared" si="40"/>
        <v>81.8</v>
      </c>
      <c r="U93" s="134">
        <f t="shared" si="41"/>
        <v>0</v>
      </c>
      <c r="V93" s="134">
        <f t="shared" si="35"/>
        <v>0</v>
      </c>
      <c r="W93" s="547">
        <f t="shared" si="42"/>
        <v>81.8</v>
      </c>
      <c r="X93" s="270">
        <f t="shared" si="43"/>
        <v>17854.49</v>
      </c>
      <c r="Y93" s="270">
        <f t="shared" si="44"/>
        <v>18335.41</v>
      </c>
      <c r="Z93" s="512">
        <f t="shared" si="45"/>
        <v>18335.41</v>
      </c>
      <c r="AB93" s="1251" t="s">
        <v>238</v>
      </c>
      <c r="AC93" s="8">
        <f t="shared" si="46"/>
        <v>51735.03</v>
      </c>
      <c r="AD93" s="8">
        <f t="shared" si="47"/>
        <v>51492.82000000001</v>
      </c>
      <c r="AE93" s="41"/>
    </row>
    <row r="94" spans="1:31" ht="18.75" customHeight="1">
      <c r="A94" s="73" t="s">
        <v>304</v>
      </c>
      <c r="B94" s="146">
        <f t="shared" si="31"/>
        <v>366961.18999999977</v>
      </c>
      <c r="C94" s="1239">
        <v>62311.45</v>
      </c>
      <c r="D94" s="1239">
        <v>46317.55</v>
      </c>
      <c r="E94" s="535"/>
      <c r="F94" s="541">
        <f t="shared" si="36"/>
        <v>382955.0899999998</v>
      </c>
      <c r="G94" s="974">
        <f t="shared" si="32"/>
        <v>0</v>
      </c>
      <c r="H94" s="1227"/>
      <c r="I94" s="969">
        <v>0</v>
      </c>
      <c r="J94" s="145">
        <f t="shared" si="37"/>
        <v>0</v>
      </c>
      <c r="K94" s="379">
        <f t="shared" si="33"/>
        <v>377.9399999999998</v>
      </c>
      <c r="L94" s="521">
        <v>1889.09</v>
      </c>
      <c r="M94" s="537">
        <v>768.43</v>
      </c>
      <c r="N94" s="121">
        <f t="shared" si="38"/>
        <v>1498.6</v>
      </c>
      <c r="O94" s="546">
        <f t="shared" si="34"/>
        <v>-4122.76</v>
      </c>
      <c r="P94" s="522">
        <v>313.3</v>
      </c>
      <c r="Q94" s="1213"/>
      <c r="R94" s="1232">
        <f>325.41+3062.84</f>
        <v>3388.25</v>
      </c>
      <c r="S94" s="546">
        <f t="shared" si="39"/>
        <v>-7197.71</v>
      </c>
      <c r="T94" s="547">
        <f t="shared" si="40"/>
        <v>3388.25</v>
      </c>
      <c r="U94" s="134">
        <f t="shared" si="41"/>
        <v>768.43</v>
      </c>
      <c r="V94" s="134">
        <f t="shared" si="35"/>
        <v>0</v>
      </c>
      <c r="W94" s="547">
        <f t="shared" si="42"/>
        <v>4156.68</v>
      </c>
      <c r="X94" s="270">
        <f t="shared" si="43"/>
        <v>64513.84</v>
      </c>
      <c r="Y94" s="270">
        <f t="shared" si="44"/>
        <v>50474.23</v>
      </c>
      <c r="Z94" s="512">
        <f t="shared" si="45"/>
        <v>49705.8</v>
      </c>
      <c r="AA94" s="669"/>
      <c r="AB94" s="1251" t="s">
        <v>304</v>
      </c>
      <c r="AC94" s="8">
        <f t="shared" si="46"/>
        <v>186772.31</v>
      </c>
      <c r="AD94" s="8">
        <f t="shared" si="47"/>
        <v>226682.37000000002</v>
      </c>
      <c r="AE94" s="1098"/>
    </row>
    <row r="95" spans="1:31" ht="18.75" customHeight="1">
      <c r="A95" s="73" t="s">
        <v>321</v>
      </c>
      <c r="B95" s="146">
        <f t="shared" si="31"/>
        <v>634559.0899999999</v>
      </c>
      <c r="C95" s="1239">
        <v>63992.51</v>
      </c>
      <c r="D95" s="1239">
        <v>131531</v>
      </c>
      <c r="E95" s="535"/>
      <c r="F95" s="541">
        <f t="shared" si="36"/>
        <v>567020.5999999999</v>
      </c>
      <c r="G95" s="974">
        <f t="shared" si="32"/>
        <v>0</v>
      </c>
      <c r="H95" s="1227"/>
      <c r="I95" s="969">
        <v>0</v>
      </c>
      <c r="J95" s="145">
        <f t="shared" si="37"/>
        <v>0</v>
      </c>
      <c r="K95" s="379">
        <f t="shared" si="33"/>
        <v>5178.139999999999</v>
      </c>
      <c r="L95" s="521">
        <v>6247.31</v>
      </c>
      <c r="M95" s="537">
        <v>4495.74</v>
      </c>
      <c r="N95" s="121">
        <f t="shared" si="38"/>
        <v>6929.710000000001</v>
      </c>
      <c r="O95" s="546">
        <f t="shared" si="34"/>
        <v>-25261.020000000004</v>
      </c>
      <c r="P95" s="522">
        <v>820.77</v>
      </c>
      <c r="Q95" s="535"/>
      <c r="R95" s="1233">
        <f>670.27+26489.92</f>
        <v>27160.19</v>
      </c>
      <c r="S95" s="546">
        <f t="shared" si="39"/>
        <v>-51600.44</v>
      </c>
      <c r="T95" s="547">
        <f t="shared" si="40"/>
        <v>27160.19</v>
      </c>
      <c r="U95" s="134">
        <f t="shared" si="41"/>
        <v>4495.74</v>
      </c>
      <c r="V95" s="134">
        <f t="shared" si="35"/>
        <v>0</v>
      </c>
      <c r="W95" s="547">
        <f t="shared" si="42"/>
        <v>31655.93</v>
      </c>
      <c r="X95" s="270">
        <f t="shared" si="43"/>
        <v>71060.59000000001</v>
      </c>
      <c r="Y95" s="270">
        <f t="shared" si="44"/>
        <v>163186.93</v>
      </c>
      <c r="Z95" s="512">
        <f t="shared" si="45"/>
        <v>158691.19</v>
      </c>
      <c r="AA95" s="669"/>
      <c r="AB95" s="1251" t="s">
        <v>321</v>
      </c>
      <c r="AC95" s="8">
        <f t="shared" si="46"/>
        <v>203733.84000000003</v>
      </c>
      <c r="AD95" s="8">
        <f t="shared" si="47"/>
        <v>564792.6199999999</v>
      </c>
      <c r="AE95" s="1098"/>
    </row>
    <row r="96" spans="1:31" ht="25.5" customHeight="1">
      <c r="A96" s="403" t="s">
        <v>127</v>
      </c>
      <c r="B96" s="501">
        <f>SUM(B69:B95)</f>
        <v>2743417.5400000014</v>
      </c>
      <c r="C96" s="385">
        <f>SUM(C69:C95)</f>
        <v>1071442.81</v>
      </c>
      <c r="D96" s="376">
        <f>SUM(D69:D95)</f>
        <v>1087225.2</v>
      </c>
      <c r="E96" s="385"/>
      <c r="F96" s="516">
        <f>SUM(F69:F95)</f>
        <v>2727635.1500000013</v>
      </c>
      <c r="G96" s="516">
        <f>SUM(G69:G95)</f>
        <v>133002.28999999998</v>
      </c>
      <c r="H96" s="1297">
        <f>SUM(H69:H95)</f>
        <v>10659.769999999999</v>
      </c>
      <c r="I96" s="973">
        <v>0</v>
      </c>
      <c r="J96" s="516">
        <f aca="true" t="shared" si="48" ref="J96:P96">SUM(J69:J95)</f>
        <v>143662.05999999997</v>
      </c>
      <c r="K96" s="387">
        <f t="shared" si="48"/>
        <v>-57959.779999999984</v>
      </c>
      <c r="L96" s="966">
        <f t="shared" si="48"/>
        <v>36531.72</v>
      </c>
      <c r="M96" s="967">
        <f t="shared" si="48"/>
        <v>19448.4</v>
      </c>
      <c r="N96" s="387">
        <f t="shared" si="48"/>
        <v>-40876.45999999999</v>
      </c>
      <c r="O96" s="475">
        <f t="shared" si="48"/>
        <v>-142362.33000000002</v>
      </c>
      <c r="P96" s="1234">
        <f t="shared" si="48"/>
        <v>2847.8999999999996</v>
      </c>
      <c r="Q96" s="386"/>
      <c r="R96" s="1234">
        <f aca="true" t="shared" si="49" ref="R96:Z96">SUM(R69:R95)</f>
        <v>31840.8</v>
      </c>
      <c r="S96" s="475">
        <f t="shared" si="49"/>
        <v>-171355.23</v>
      </c>
      <c r="T96" s="516">
        <f t="shared" si="49"/>
        <v>31840.8</v>
      </c>
      <c r="U96" s="388">
        <f t="shared" si="49"/>
        <v>19448.4</v>
      </c>
      <c r="V96" s="386">
        <f t="shared" si="49"/>
        <v>0</v>
      </c>
      <c r="W96" s="516">
        <f t="shared" si="49"/>
        <v>51289.2</v>
      </c>
      <c r="X96" s="372">
        <f t="shared" si="49"/>
        <v>1121482.2000000002</v>
      </c>
      <c r="Y96" s="372">
        <f t="shared" si="49"/>
        <v>1138514.4000000001</v>
      </c>
      <c r="Z96" s="513">
        <f t="shared" si="49"/>
        <v>1119066.0000000002</v>
      </c>
      <c r="AB96" s="73" t="s">
        <v>263</v>
      </c>
      <c r="AC96" s="976">
        <f>SUM(AC69:AC95)</f>
        <v>3240174.079999999</v>
      </c>
      <c r="AD96" s="976">
        <f>SUM(AD69:AD95)</f>
        <v>3566300.74</v>
      </c>
      <c r="AE96" s="41"/>
    </row>
    <row r="97" spans="1:32" ht="39.75" customHeight="1" thickBot="1">
      <c r="A97" s="857"/>
      <c r="B97" s="858"/>
      <c r="C97" s="920"/>
      <c r="D97" s="996"/>
      <c r="E97" s="920"/>
      <c r="F97" s="997"/>
      <c r="G97" s="865"/>
      <c r="H97" s="998"/>
      <c r="I97" s="986"/>
      <c r="J97" s="860"/>
      <c r="K97" s="986"/>
      <c r="L97" s="987"/>
      <c r="M97" s="988"/>
      <c r="N97" s="862"/>
      <c r="O97" s="863"/>
      <c r="P97" s="992"/>
      <c r="Q97" s="993"/>
      <c r="R97" s="992"/>
      <c r="S97" s="994"/>
      <c r="T97" s="677"/>
      <c r="U97" s="678"/>
      <c r="V97" s="864"/>
      <c r="W97" s="865"/>
      <c r="X97" s="866"/>
      <c r="Y97" s="866"/>
      <c r="Z97" s="726"/>
      <c r="AA97" s="667"/>
      <c r="AB97" s="867"/>
      <c r="AC97" s="878"/>
      <c r="AD97" s="878"/>
      <c r="AE97" s="550"/>
      <c r="AF97" s="550"/>
    </row>
    <row r="98" spans="1:31" ht="37.5" customHeight="1" thickBot="1">
      <c r="A98" s="400" t="s">
        <v>128</v>
      </c>
      <c r="B98" s="1672" t="s">
        <v>22</v>
      </c>
      <c r="C98" s="1615" t="s">
        <v>2</v>
      </c>
      <c r="D98" s="1616"/>
      <c r="E98" s="1616"/>
      <c r="F98" s="1617"/>
      <c r="G98" s="1615" t="s">
        <v>3</v>
      </c>
      <c r="H98" s="1616"/>
      <c r="I98" s="1617"/>
      <c r="J98" s="384"/>
      <c r="K98" s="1628" t="s">
        <v>4</v>
      </c>
      <c r="L98" s="1629"/>
      <c r="M98" s="1630"/>
      <c r="N98" s="979"/>
      <c r="O98" s="978"/>
      <c r="P98" s="1625" t="s">
        <v>74</v>
      </c>
      <c r="Q98" s="1626"/>
      <c r="R98" s="1626"/>
      <c r="S98" s="1627"/>
      <c r="T98" s="991" t="s">
        <v>67</v>
      </c>
      <c r="U98" s="868" t="s">
        <v>69</v>
      </c>
      <c r="V98" s="869" t="s">
        <v>71</v>
      </c>
      <c r="W98" s="870" t="s">
        <v>84</v>
      </c>
      <c r="X98" s="1604" t="s">
        <v>429</v>
      </c>
      <c r="Y98" s="1604"/>
      <c r="Z98" s="1604"/>
      <c r="AA98" s="1604"/>
      <c r="AB98" s="41"/>
      <c r="AC98" s="8"/>
      <c r="AD98" s="8"/>
      <c r="AE98" s="41"/>
    </row>
    <row r="99" spans="1:31" ht="46.5" customHeight="1" thickBot="1">
      <c r="A99" s="405" t="s">
        <v>1</v>
      </c>
      <c r="B99" s="1673"/>
      <c r="C99" s="402" t="s">
        <v>5</v>
      </c>
      <c r="D99" s="136" t="s">
        <v>6</v>
      </c>
      <c r="E99" s="136"/>
      <c r="F99" s="136" t="s">
        <v>7</v>
      </c>
      <c r="G99" s="999" t="s">
        <v>22</v>
      </c>
      <c r="H99" s="137" t="s">
        <v>5</v>
      </c>
      <c r="I99" s="137" t="s">
        <v>6</v>
      </c>
      <c r="J99" s="138" t="s">
        <v>7</v>
      </c>
      <c r="K99" s="989" t="s">
        <v>22</v>
      </c>
      <c r="L99" s="990" t="s">
        <v>5</v>
      </c>
      <c r="M99" s="990" t="s">
        <v>6</v>
      </c>
      <c r="N99" s="181" t="s">
        <v>7</v>
      </c>
      <c r="O99" s="139" t="s">
        <v>22</v>
      </c>
      <c r="P99" s="995" t="s">
        <v>33</v>
      </c>
      <c r="Q99" s="995" t="s">
        <v>64</v>
      </c>
      <c r="R99" s="995" t="s">
        <v>6</v>
      </c>
      <c r="S99" s="140" t="s">
        <v>7</v>
      </c>
      <c r="T99" s="229" t="s">
        <v>68</v>
      </c>
      <c r="U99" s="230" t="s">
        <v>70</v>
      </c>
      <c r="V99" s="231" t="s">
        <v>70</v>
      </c>
      <c r="W99" s="232" t="s">
        <v>83</v>
      </c>
      <c r="X99" s="190" t="s">
        <v>81</v>
      </c>
      <c r="Y99" s="182" t="s">
        <v>69</v>
      </c>
      <c r="Z99" s="191" t="s">
        <v>82</v>
      </c>
      <c r="AA99" s="616" t="s">
        <v>168</v>
      </c>
      <c r="AB99" s="619" t="s">
        <v>169</v>
      </c>
      <c r="AC99" s="617" t="s">
        <v>106</v>
      </c>
      <c r="AD99" s="239" t="s">
        <v>107</v>
      </c>
      <c r="AE99" s="613" t="s">
        <v>151</v>
      </c>
    </row>
    <row r="100" spans="1:31" ht="20.25">
      <c r="A100" s="686" t="s">
        <v>47</v>
      </c>
      <c r="B100" s="118">
        <f aca="true" t="shared" si="50" ref="B100:B126">F69</f>
        <v>111538.10999999996</v>
      </c>
      <c r="C100" s="679">
        <v>15050.77</v>
      </c>
      <c r="D100" s="679">
        <v>15490.49</v>
      </c>
      <c r="E100" s="77"/>
      <c r="F100" s="118">
        <f>B100+C100-D100</f>
        <v>111098.38999999996</v>
      </c>
      <c r="G100" s="145">
        <f aca="true" t="shared" si="51" ref="G100:G126">J69</f>
        <v>25350.929999999986</v>
      </c>
      <c r="H100" s="601">
        <v>1505.17</v>
      </c>
      <c r="I100" s="173">
        <v>0</v>
      </c>
      <c r="J100" s="145">
        <f>G100+H100-I100</f>
        <v>26856.099999999984</v>
      </c>
      <c r="K100" s="126">
        <f aca="true" t="shared" si="52" ref="K100:K126">N69</f>
        <v>-545.3099999999995</v>
      </c>
      <c r="L100" s="1243">
        <v>4819.88</v>
      </c>
      <c r="M100" s="1248">
        <v>9639.76</v>
      </c>
      <c r="N100" s="126">
        <f>K100+L100-M100</f>
        <v>-5365.19</v>
      </c>
      <c r="O100" s="155">
        <f aca="true" t="shared" si="53" ref="O100:O126">S69</f>
        <v>-1501.55</v>
      </c>
      <c r="P100" s="984">
        <v>152.86</v>
      </c>
      <c r="Q100" s="170"/>
      <c r="R100" s="679">
        <v>92.82</v>
      </c>
      <c r="S100" s="234">
        <f>O100+P100-R100</f>
        <v>-1441.51</v>
      </c>
      <c r="T100" s="235">
        <f>R100</f>
        <v>92.82</v>
      </c>
      <c r="U100" s="92">
        <f>M100</f>
        <v>9639.76</v>
      </c>
      <c r="V100" s="92">
        <f>I100</f>
        <v>0</v>
      </c>
      <c r="W100" s="233">
        <f>T100+U100+V100</f>
        <v>9732.58</v>
      </c>
      <c r="X100" s="609">
        <f aca="true" t="shared" si="54" ref="X100:X125">U38+T69+T100</f>
        <v>328.89</v>
      </c>
      <c r="Y100" s="610">
        <f>V38+U69+U100</f>
        <v>14459.64</v>
      </c>
      <c r="Z100" s="610">
        <f aca="true" t="shared" si="55" ref="Z100:Z126">W38+V69+V100</f>
        <v>0</v>
      </c>
      <c r="AA100" s="615">
        <f>X100+Y100+Z100</f>
        <v>14788.529999999999</v>
      </c>
      <c r="AB100" s="620">
        <f>Y100+Z100</f>
        <v>14459.64</v>
      </c>
      <c r="AC100" s="618">
        <f>C100+H100+L100+P100</f>
        <v>21528.680000000004</v>
      </c>
      <c r="AD100" s="270">
        <f>D100+I100+M100+R100</f>
        <v>25223.07</v>
      </c>
      <c r="AE100" s="614">
        <f>D100+R100</f>
        <v>15583.31</v>
      </c>
    </row>
    <row r="101" spans="1:31" ht="20.25">
      <c r="A101" s="687" t="s">
        <v>53</v>
      </c>
      <c r="B101" s="118">
        <f t="shared" si="50"/>
        <v>125113.71000000021</v>
      </c>
      <c r="C101" s="679">
        <v>33877.29</v>
      </c>
      <c r="D101" s="679">
        <v>32500.83</v>
      </c>
      <c r="E101" s="77"/>
      <c r="F101" s="118">
        <f aca="true" t="shared" si="56" ref="F101:F126">B101+C101-D101</f>
        <v>126490.1700000002</v>
      </c>
      <c r="G101" s="145">
        <f t="shared" si="51"/>
        <v>650.5899999999997</v>
      </c>
      <c r="H101" s="601">
        <v>294.05</v>
      </c>
      <c r="I101" s="173">
        <v>0</v>
      </c>
      <c r="J101" s="145">
        <f aca="true" t="shared" si="57" ref="J101:J126">G101+H101-I101</f>
        <v>944.6399999999996</v>
      </c>
      <c r="K101" s="126">
        <f t="shared" si="52"/>
        <v>-3485.95</v>
      </c>
      <c r="L101" s="1243">
        <v>137.45</v>
      </c>
      <c r="M101" s="1031">
        <v>0</v>
      </c>
      <c r="N101" s="126">
        <f aca="true" t="shared" si="58" ref="N101:N126">K101+L101-M101</f>
        <v>-3348.5</v>
      </c>
      <c r="O101" s="155">
        <f t="shared" si="53"/>
        <v>169.54</v>
      </c>
      <c r="P101" s="985">
        <v>6.03</v>
      </c>
      <c r="Q101" s="99"/>
      <c r="R101" s="682">
        <v>20.71</v>
      </c>
      <c r="S101" s="234">
        <f aca="true" t="shared" si="59" ref="S101:S126">O101+P101-R101</f>
        <v>154.85999999999999</v>
      </c>
      <c r="T101" s="235">
        <f aca="true" t="shared" si="60" ref="T101:T126">R101</f>
        <v>20.71</v>
      </c>
      <c r="U101" s="92">
        <f aca="true" t="shared" si="61" ref="U101:U126">M101</f>
        <v>0</v>
      </c>
      <c r="V101" s="92">
        <f aca="true" t="shared" si="62" ref="V101:V126">I101</f>
        <v>0</v>
      </c>
      <c r="W101" s="233">
        <f aca="true" t="shared" si="63" ref="W101:W126">T101+U101+V101</f>
        <v>20.71</v>
      </c>
      <c r="X101" s="611">
        <f t="shared" si="54"/>
        <v>51.43</v>
      </c>
      <c r="Y101" s="610">
        <f aca="true" t="shared" si="64" ref="Y101:Y125">V39+U70+U101</f>
        <v>120.78</v>
      </c>
      <c r="Z101" s="612">
        <f t="shared" si="55"/>
        <v>0</v>
      </c>
      <c r="AA101" s="476">
        <f aca="true" t="shared" si="65" ref="AA101:AA126">X101+Y101+Z101</f>
        <v>172.21</v>
      </c>
      <c r="AB101" s="620">
        <f aca="true" t="shared" si="66" ref="AB101:AB126">Y101+Z101</f>
        <v>120.78</v>
      </c>
      <c r="AC101" s="618">
        <f aca="true" t="shared" si="67" ref="AC101:AC126">C101+H101+L101+P101</f>
        <v>34314.82</v>
      </c>
      <c r="AD101" s="270">
        <f aca="true" t="shared" si="68" ref="AD101:AD126">D101+I101+M101+R101</f>
        <v>32521.54</v>
      </c>
      <c r="AE101" s="614">
        <f aca="true" t="shared" si="69" ref="AE101:AE125">D101+R101</f>
        <v>32521.54</v>
      </c>
    </row>
    <row r="102" spans="1:31" ht="20.25">
      <c r="A102" s="192" t="s">
        <v>8</v>
      </c>
      <c r="B102" s="118">
        <f t="shared" si="50"/>
        <v>74445.62</v>
      </c>
      <c r="C102" s="144"/>
      <c r="D102" s="144"/>
      <c r="E102" s="74"/>
      <c r="F102" s="118">
        <f t="shared" si="56"/>
        <v>74445.62</v>
      </c>
      <c r="G102" s="145">
        <f t="shared" si="51"/>
        <v>0</v>
      </c>
      <c r="H102" s="602"/>
      <c r="I102" s="82">
        <v>0</v>
      </c>
      <c r="J102" s="145">
        <f t="shared" si="57"/>
        <v>0</v>
      </c>
      <c r="K102" s="126">
        <f t="shared" si="52"/>
        <v>0</v>
      </c>
      <c r="L102" s="526"/>
      <c r="M102" s="1031"/>
      <c r="N102" s="126">
        <f t="shared" si="58"/>
        <v>0</v>
      </c>
      <c r="O102" s="155">
        <f t="shared" si="53"/>
        <v>0</v>
      </c>
      <c r="P102" s="681"/>
      <c r="Q102" s="171"/>
      <c r="R102" s="683"/>
      <c r="S102" s="234">
        <f t="shared" si="59"/>
        <v>0</v>
      </c>
      <c r="T102" s="235">
        <f t="shared" si="60"/>
        <v>0</v>
      </c>
      <c r="U102" s="92">
        <f t="shared" si="61"/>
        <v>0</v>
      </c>
      <c r="V102" s="92">
        <f t="shared" si="62"/>
        <v>0</v>
      </c>
      <c r="W102" s="233">
        <f t="shared" si="63"/>
        <v>0</v>
      </c>
      <c r="X102" s="611">
        <f t="shared" si="54"/>
        <v>0</v>
      </c>
      <c r="Y102" s="610">
        <f t="shared" si="64"/>
        <v>0</v>
      </c>
      <c r="Z102" s="612">
        <f t="shared" si="55"/>
        <v>0</v>
      </c>
      <c r="AA102" s="476">
        <f t="shared" si="65"/>
        <v>0</v>
      </c>
      <c r="AB102" s="620">
        <f t="shared" si="66"/>
        <v>0</v>
      </c>
      <c r="AC102" s="618">
        <f t="shared" si="67"/>
        <v>0</v>
      </c>
      <c r="AD102" s="270">
        <f t="shared" si="68"/>
        <v>0</v>
      </c>
      <c r="AE102" s="614">
        <f t="shared" si="69"/>
        <v>0</v>
      </c>
    </row>
    <row r="103" spans="1:31" ht="20.25">
      <c r="A103" s="687" t="s">
        <v>48</v>
      </c>
      <c r="B103" s="118">
        <f t="shared" si="50"/>
        <v>374072.9400000002</v>
      </c>
      <c r="C103" s="144">
        <v>81567.19</v>
      </c>
      <c r="D103" s="144">
        <v>76942.75</v>
      </c>
      <c r="E103" s="74"/>
      <c r="F103" s="118">
        <f t="shared" si="56"/>
        <v>378697.3800000002</v>
      </c>
      <c r="G103" s="145">
        <f t="shared" si="51"/>
        <v>26160.589999999993</v>
      </c>
      <c r="H103" s="602">
        <v>1401.11</v>
      </c>
      <c r="I103" s="82">
        <v>0</v>
      </c>
      <c r="J103" s="145">
        <f t="shared" si="57"/>
        <v>27561.699999999993</v>
      </c>
      <c r="K103" s="126">
        <f t="shared" si="52"/>
        <v>1750.7100000000007</v>
      </c>
      <c r="L103" s="1243">
        <v>2139.04</v>
      </c>
      <c r="M103" s="1248">
        <v>5123</v>
      </c>
      <c r="N103" s="126">
        <f t="shared" si="58"/>
        <v>-1233.249999999999</v>
      </c>
      <c r="O103" s="155">
        <f t="shared" si="53"/>
        <v>-2426.2799999999997</v>
      </c>
      <c r="P103" s="144">
        <v>446.23</v>
      </c>
      <c r="Q103" s="78"/>
      <c r="R103" s="144">
        <v>377.79</v>
      </c>
      <c r="S103" s="234">
        <f t="shared" si="59"/>
        <v>-2357.8399999999997</v>
      </c>
      <c r="T103" s="235">
        <f t="shared" si="60"/>
        <v>377.79</v>
      </c>
      <c r="U103" s="92">
        <f t="shared" si="61"/>
        <v>5123</v>
      </c>
      <c r="V103" s="92">
        <f t="shared" si="62"/>
        <v>0</v>
      </c>
      <c r="W103" s="233">
        <f t="shared" si="63"/>
        <v>5500.79</v>
      </c>
      <c r="X103" s="611">
        <f t="shared" si="54"/>
        <v>561.7</v>
      </c>
      <c r="Y103" s="610">
        <f t="shared" si="64"/>
        <v>5754.49</v>
      </c>
      <c r="Z103" s="612">
        <f t="shared" si="55"/>
        <v>0</v>
      </c>
      <c r="AA103" s="476">
        <f t="shared" si="65"/>
        <v>6316.19</v>
      </c>
      <c r="AB103" s="620">
        <f t="shared" si="66"/>
        <v>5754.49</v>
      </c>
      <c r="AC103" s="618">
        <f t="shared" si="67"/>
        <v>85553.56999999999</v>
      </c>
      <c r="AD103" s="270">
        <f t="shared" si="68"/>
        <v>82443.54</v>
      </c>
      <c r="AE103" s="614">
        <f t="shared" si="69"/>
        <v>77320.54</v>
      </c>
    </row>
    <row r="104" spans="1:31" ht="20.25">
      <c r="A104" s="175" t="s">
        <v>9</v>
      </c>
      <c r="B104" s="118">
        <f t="shared" si="50"/>
        <v>126204.86000000007</v>
      </c>
      <c r="C104" s="144">
        <v>20363.74</v>
      </c>
      <c r="D104" s="144">
        <v>18471.71</v>
      </c>
      <c r="E104" s="74"/>
      <c r="F104" s="118">
        <f t="shared" si="56"/>
        <v>128096.89000000007</v>
      </c>
      <c r="G104" s="145">
        <f t="shared" si="51"/>
        <v>30757.92</v>
      </c>
      <c r="H104" s="602">
        <v>1621.17</v>
      </c>
      <c r="I104" s="82">
        <v>0</v>
      </c>
      <c r="J104" s="145">
        <f t="shared" si="57"/>
        <v>32379.089999999997</v>
      </c>
      <c r="K104" s="126">
        <f t="shared" si="52"/>
        <v>0</v>
      </c>
      <c r="L104" s="526"/>
      <c r="M104" s="1031"/>
      <c r="N104" s="126">
        <f t="shared" si="58"/>
        <v>0</v>
      </c>
      <c r="O104" s="155">
        <f t="shared" si="53"/>
        <v>1113.9099999999999</v>
      </c>
      <c r="P104" s="144">
        <v>17.11</v>
      </c>
      <c r="Q104" s="78"/>
      <c r="R104" s="144">
        <v>20.28</v>
      </c>
      <c r="S104" s="234">
        <f t="shared" si="59"/>
        <v>1110.7399999999998</v>
      </c>
      <c r="T104" s="235">
        <f t="shared" si="60"/>
        <v>20.28</v>
      </c>
      <c r="U104" s="92">
        <f t="shared" si="61"/>
        <v>0</v>
      </c>
      <c r="V104" s="92">
        <f t="shared" si="62"/>
        <v>0</v>
      </c>
      <c r="W104" s="233">
        <f t="shared" si="63"/>
        <v>20.28</v>
      </c>
      <c r="X104" s="611">
        <f t="shared" si="54"/>
        <v>-896.4399999999999</v>
      </c>
      <c r="Y104" s="610">
        <f t="shared" si="64"/>
        <v>0</v>
      </c>
      <c r="Z104" s="612">
        <f t="shared" si="55"/>
        <v>0</v>
      </c>
      <c r="AA104" s="476">
        <f t="shared" si="65"/>
        <v>-896.4399999999999</v>
      </c>
      <c r="AB104" s="620">
        <f t="shared" si="66"/>
        <v>0</v>
      </c>
      <c r="AC104" s="618">
        <f t="shared" si="67"/>
        <v>22002.020000000004</v>
      </c>
      <c r="AD104" s="270">
        <f t="shared" si="68"/>
        <v>18491.989999999998</v>
      </c>
      <c r="AE104" s="614">
        <f t="shared" si="69"/>
        <v>18491.989999999998</v>
      </c>
    </row>
    <row r="105" spans="1:31" ht="20.25">
      <c r="A105" s="687" t="s">
        <v>10</v>
      </c>
      <c r="B105" s="118">
        <f t="shared" si="50"/>
        <v>10879.48000000009</v>
      </c>
      <c r="C105" s="144">
        <v>8796.01</v>
      </c>
      <c r="D105" s="144">
        <v>8905.9</v>
      </c>
      <c r="E105" s="74"/>
      <c r="F105" s="118">
        <f t="shared" si="56"/>
        <v>10769.590000000093</v>
      </c>
      <c r="G105" s="145">
        <f t="shared" si="51"/>
        <v>0</v>
      </c>
      <c r="H105" s="602"/>
      <c r="I105" s="82">
        <v>0</v>
      </c>
      <c r="J105" s="145">
        <f t="shared" si="57"/>
        <v>0</v>
      </c>
      <c r="K105" s="126">
        <f t="shared" si="52"/>
        <v>0</v>
      </c>
      <c r="L105" s="526"/>
      <c r="M105" s="1031"/>
      <c r="N105" s="126">
        <f t="shared" si="58"/>
        <v>0</v>
      </c>
      <c r="O105" s="155">
        <f t="shared" si="53"/>
        <v>0.779999999999994</v>
      </c>
      <c r="P105" s="144">
        <v>2.63</v>
      </c>
      <c r="Q105" s="78"/>
      <c r="R105" s="144"/>
      <c r="S105" s="234">
        <f t="shared" si="59"/>
        <v>3.409999999999994</v>
      </c>
      <c r="T105" s="235">
        <f t="shared" si="60"/>
        <v>0</v>
      </c>
      <c r="U105" s="92">
        <f t="shared" si="61"/>
        <v>0</v>
      </c>
      <c r="V105" s="92">
        <f t="shared" si="62"/>
        <v>0</v>
      </c>
      <c r="W105" s="233">
        <f t="shared" si="63"/>
        <v>0</v>
      </c>
      <c r="X105" s="611">
        <f t="shared" si="54"/>
        <v>0</v>
      </c>
      <c r="Y105" s="610">
        <f t="shared" si="64"/>
        <v>0</v>
      </c>
      <c r="Z105" s="612">
        <f t="shared" si="55"/>
        <v>0</v>
      </c>
      <c r="AA105" s="476">
        <f t="shared" si="65"/>
        <v>0</v>
      </c>
      <c r="AB105" s="620">
        <f t="shared" si="66"/>
        <v>0</v>
      </c>
      <c r="AC105" s="618">
        <f t="shared" si="67"/>
        <v>8798.64</v>
      </c>
      <c r="AD105" s="270">
        <f t="shared" si="68"/>
        <v>8905.9</v>
      </c>
      <c r="AE105" s="614">
        <f t="shared" si="69"/>
        <v>8905.9</v>
      </c>
    </row>
    <row r="106" spans="1:31" ht="20.25">
      <c r="A106" s="687" t="s">
        <v>11</v>
      </c>
      <c r="B106" s="118">
        <f t="shared" si="50"/>
        <v>9736.160000000036</v>
      </c>
      <c r="C106" s="144">
        <v>8764.88</v>
      </c>
      <c r="D106" s="144">
        <v>9945.1</v>
      </c>
      <c r="E106" s="74"/>
      <c r="F106" s="118">
        <f t="shared" si="56"/>
        <v>8555.940000000037</v>
      </c>
      <c r="G106" s="145">
        <f t="shared" si="51"/>
        <v>0</v>
      </c>
      <c r="H106" s="602"/>
      <c r="I106" s="82">
        <v>0</v>
      </c>
      <c r="J106" s="145">
        <f t="shared" si="57"/>
        <v>0</v>
      </c>
      <c r="K106" s="126">
        <f t="shared" si="52"/>
        <v>0</v>
      </c>
      <c r="L106" s="526"/>
      <c r="M106" s="1031"/>
      <c r="N106" s="126">
        <f t="shared" si="58"/>
        <v>0</v>
      </c>
      <c r="O106" s="155">
        <f t="shared" si="53"/>
        <v>89.53</v>
      </c>
      <c r="P106" s="144">
        <v>10.96</v>
      </c>
      <c r="Q106" s="78"/>
      <c r="R106" s="144">
        <v>10.96</v>
      </c>
      <c r="S106" s="234">
        <f t="shared" si="59"/>
        <v>89.53</v>
      </c>
      <c r="T106" s="235">
        <f t="shared" si="60"/>
        <v>10.96</v>
      </c>
      <c r="U106" s="92">
        <f t="shared" si="61"/>
        <v>0</v>
      </c>
      <c r="V106" s="92">
        <f t="shared" si="62"/>
        <v>0</v>
      </c>
      <c r="W106" s="233">
        <f t="shared" si="63"/>
        <v>10.96</v>
      </c>
      <c r="X106" s="611">
        <f t="shared" si="54"/>
        <v>11.05</v>
      </c>
      <c r="Y106" s="610">
        <f t="shared" si="64"/>
        <v>0</v>
      </c>
      <c r="Z106" s="612">
        <f t="shared" si="55"/>
        <v>0</v>
      </c>
      <c r="AA106" s="476">
        <f t="shared" si="65"/>
        <v>11.05</v>
      </c>
      <c r="AB106" s="620">
        <f t="shared" si="66"/>
        <v>0</v>
      </c>
      <c r="AC106" s="618">
        <f t="shared" si="67"/>
        <v>8775.839999999998</v>
      </c>
      <c r="AD106" s="270">
        <f t="shared" si="68"/>
        <v>9956.06</v>
      </c>
      <c r="AE106" s="614">
        <f t="shared" si="69"/>
        <v>9956.06</v>
      </c>
    </row>
    <row r="107" spans="1:31" ht="20.25">
      <c r="A107" s="687" t="s">
        <v>12</v>
      </c>
      <c r="B107" s="118">
        <f t="shared" si="50"/>
        <v>92493.07000000021</v>
      </c>
      <c r="C107" s="144">
        <v>50177.68</v>
      </c>
      <c r="D107" s="144">
        <v>53063.98</v>
      </c>
      <c r="E107" s="74"/>
      <c r="F107" s="118">
        <f t="shared" si="56"/>
        <v>89606.7700000002</v>
      </c>
      <c r="G107" s="145">
        <f t="shared" si="51"/>
        <v>7825.569999999995</v>
      </c>
      <c r="H107" s="602">
        <v>583.65</v>
      </c>
      <c r="I107" s="82">
        <v>0</v>
      </c>
      <c r="J107" s="145">
        <f t="shared" si="57"/>
        <v>8409.219999999996</v>
      </c>
      <c r="K107" s="126">
        <f t="shared" si="52"/>
        <v>1508.3999999999985</v>
      </c>
      <c r="L107" s="1243">
        <v>1722.24</v>
      </c>
      <c r="M107" s="1248">
        <v>1722.24</v>
      </c>
      <c r="N107" s="126">
        <f t="shared" si="58"/>
        <v>1508.3999999999985</v>
      </c>
      <c r="O107" s="155">
        <f t="shared" si="53"/>
        <v>403.81000000000006</v>
      </c>
      <c r="P107" s="144">
        <v>90.3</v>
      </c>
      <c r="Q107" s="78"/>
      <c r="R107" s="144">
        <v>91.54</v>
      </c>
      <c r="S107" s="234">
        <f t="shared" si="59"/>
        <v>402.57000000000005</v>
      </c>
      <c r="T107" s="235">
        <f t="shared" si="60"/>
        <v>91.54</v>
      </c>
      <c r="U107" s="92">
        <f t="shared" si="61"/>
        <v>1722.24</v>
      </c>
      <c r="V107" s="92">
        <f t="shared" si="62"/>
        <v>0</v>
      </c>
      <c r="W107" s="233">
        <f t="shared" si="63"/>
        <v>1813.78</v>
      </c>
      <c r="X107" s="611">
        <f t="shared" si="54"/>
        <v>161.3</v>
      </c>
      <c r="Y107" s="610">
        <f t="shared" si="64"/>
        <v>5166.72</v>
      </c>
      <c r="Z107" s="612">
        <f t="shared" si="55"/>
        <v>0</v>
      </c>
      <c r="AA107" s="476">
        <f t="shared" si="65"/>
        <v>5328.02</v>
      </c>
      <c r="AB107" s="620">
        <f t="shared" si="66"/>
        <v>5166.72</v>
      </c>
      <c r="AC107" s="618">
        <f t="shared" si="67"/>
        <v>52573.87</v>
      </c>
      <c r="AD107" s="270">
        <f t="shared" si="68"/>
        <v>54877.76</v>
      </c>
      <c r="AE107" s="614">
        <f t="shared" si="69"/>
        <v>53155.520000000004</v>
      </c>
    </row>
    <row r="108" spans="1:31" ht="20.25">
      <c r="A108" s="687" t="s">
        <v>13</v>
      </c>
      <c r="B108" s="118">
        <f t="shared" si="50"/>
        <v>58089.30000000004</v>
      </c>
      <c r="C108" s="144">
        <v>29644.07</v>
      </c>
      <c r="D108" s="680">
        <v>30286.31</v>
      </c>
      <c r="E108" s="74"/>
      <c r="F108" s="118">
        <f t="shared" si="56"/>
        <v>57447.06000000004</v>
      </c>
      <c r="G108" s="145">
        <f t="shared" si="51"/>
        <v>2812.289999999999</v>
      </c>
      <c r="H108" s="602">
        <v>196.74</v>
      </c>
      <c r="I108" s="82">
        <v>0</v>
      </c>
      <c r="J108" s="145">
        <f t="shared" si="57"/>
        <v>3009.029999999999</v>
      </c>
      <c r="K108" s="126">
        <f t="shared" si="52"/>
        <v>-1562.25</v>
      </c>
      <c r="L108" s="1243">
        <v>727.77</v>
      </c>
      <c r="M108" s="1248">
        <v>727.77</v>
      </c>
      <c r="N108" s="126">
        <f t="shared" si="58"/>
        <v>-1562.25</v>
      </c>
      <c r="O108" s="155">
        <f t="shared" si="53"/>
        <v>59.02000000000002</v>
      </c>
      <c r="P108" s="144">
        <v>33.95</v>
      </c>
      <c r="Q108" s="78"/>
      <c r="R108" s="144">
        <v>38.14</v>
      </c>
      <c r="S108" s="234">
        <f t="shared" si="59"/>
        <v>54.83000000000003</v>
      </c>
      <c r="T108" s="235">
        <f t="shared" si="60"/>
        <v>38.14</v>
      </c>
      <c r="U108" s="92">
        <f t="shared" si="61"/>
        <v>727.77</v>
      </c>
      <c r="V108" s="92">
        <f t="shared" si="62"/>
        <v>0</v>
      </c>
      <c r="W108" s="233">
        <f t="shared" si="63"/>
        <v>765.91</v>
      </c>
      <c r="X108" s="611">
        <f t="shared" si="54"/>
        <v>129.67000000000002</v>
      </c>
      <c r="Y108" s="610">
        <f t="shared" si="64"/>
        <v>1455.54</v>
      </c>
      <c r="Z108" s="612">
        <f t="shared" si="55"/>
        <v>0</v>
      </c>
      <c r="AA108" s="476">
        <f t="shared" si="65"/>
        <v>1585.21</v>
      </c>
      <c r="AB108" s="620">
        <f t="shared" si="66"/>
        <v>1455.54</v>
      </c>
      <c r="AC108" s="618">
        <f t="shared" si="67"/>
        <v>30602.530000000002</v>
      </c>
      <c r="AD108" s="270">
        <f t="shared" si="68"/>
        <v>31052.22</v>
      </c>
      <c r="AE108" s="614">
        <f t="shared" si="69"/>
        <v>30324.45</v>
      </c>
    </row>
    <row r="109" spans="1:31" ht="20.25">
      <c r="A109" s="687" t="s">
        <v>14</v>
      </c>
      <c r="B109" s="118">
        <f t="shared" si="50"/>
        <v>67582.46000000008</v>
      </c>
      <c r="C109" s="144">
        <v>36574.19</v>
      </c>
      <c r="D109" s="144">
        <v>38976.51</v>
      </c>
      <c r="E109" s="74"/>
      <c r="F109" s="118">
        <f t="shared" si="56"/>
        <v>65180.14000000008</v>
      </c>
      <c r="G109" s="145">
        <f t="shared" si="51"/>
        <v>3945.3199999999997</v>
      </c>
      <c r="H109" s="602"/>
      <c r="I109" s="82">
        <v>0</v>
      </c>
      <c r="J109" s="145">
        <f t="shared" si="57"/>
        <v>3945.3199999999997</v>
      </c>
      <c r="K109" s="126">
        <f t="shared" si="52"/>
        <v>5178.15</v>
      </c>
      <c r="L109" s="1243">
        <v>2926</v>
      </c>
      <c r="M109" s="1248">
        <v>3692.29</v>
      </c>
      <c r="N109" s="126">
        <f t="shared" si="58"/>
        <v>4411.86</v>
      </c>
      <c r="O109" s="155">
        <f t="shared" si="53"/>
        <v>-291.83000000000004</v>
      </c>
      <c r="P109" s="144">
        <v>41.87</v>
      </c>
      <c r="Q109" s="78"/>
      <c r="R109" s="144"/>
      <c r="S109" s="234">
        <f t="shared" si="59"/>
        <v>-249.96000000000004</v>
      </c>
      <c r="T109" s="235">
        <f t="shared" si="60"/>
        <v>0</v>
      </c>
      <c r="U109" s="92">
        <f t="shared" si="61"/>
        <v>3692.29</v>
      </c>
      <c r="V109" s="92">
        <f t="shared" si="62"/>
        <v>0</v>
      </c>
      <c r="W109" s="233">
        <f t="shared" si="63"/>
        <v>3692.29</v>
      </c>
      <c r="X109" s="611">
        <f t="shared" si="54"/>
        <v>0</v>
      </c>
      <c r="Y109" s="610">
        <f t="shared" si="64"/>
        <v>7924.92</v>
      </c>
      <c r="Z109" s="612">
        <f t="shared" si="55"/>
        <v>0</v>
      </c>
      <c r="AA109" s="476">
        <f t="shared" si="65"/>
        <v>7924.92</v>
      </c>
      <c r="AB109" s="620">
        <f t="shared" si="66"/>
        <v>7924.92</v>
      </c>
      <c r="AC109" s="618">
        <f t="shared" si="67"/>
        <v>39542.060000000005</v>
      </c>
      <c r="AD109" s="270">
        <f t="shared" si="68"/>
        <v>42668.8</v>
      </c>
      <c r="AE109" s="614">
        <f t="shared" si="69"/>
        <v>38976.51</v>
      </c>
    </row>
    <row r="110" spans="1:31" ht="20.25">
      <c r="A110" s="687" t="s">
        <v>55</v>
      </c>
      <c r="B110" s="118">
        <f t="shared" si="50"/>
        <v>35560.48999999999</v>
      </c>
      <c r="C110" s="144">
        <v>16278.66</v>
      </c>
      <c r="D110" s="144">
        <v>16288.98</v>
      </c>
      <c r="E110" s="74"/>
      <c r="F110" s="118">
        <f t="shared" si="56"/>
        <v>35550.17</v>
      </c>
      <c r="G110" s="145">
        <f t="shared" si="51"/>
        <v>2806.3</v>
      </c>
      <c r="H110" s="602">
        <v>209.3</v>
      </c>
      <c r="I110" s="82">
        <v>0</v>
      </c>
      <c r="J110" s="145">
        <f t="shared" si="57"/>
        <v>3015.6000000000004</v>
      </c>
      <c r="K110" s="126">
        <f t="shared" si="52"/>
        <v>1488.8900000000024</v>
      </c>
      <c r="L110" s="1243">
        <v>773.21</v>
      </c>
      <c r="M110" s="1248">
        <v>352.82</v>
      </c>
      <c r="N110" s="126">
        <f t="shared" si="58"/>
        <v>1909.2800000000022</v>
      </c>
      <c r="O110" s="155">
        <f t="shared" si="53"/>
        <v>-763.87</v>
      </c>
      <c r="P110" s="625">
        <v>0.27</v>
      </c>
      <c r="Q110" s="78"/>
      <c r="R110" s="144">
        <v>0.27</v>
      </c>
      <c r="S110" s="234">
        <f t="shared" si="59"/>
        <v>-763.87</v>
      </c>
      <c r="T110" s="235">
        <f t="shared" si="60"/>
        <v>0.27</v>
      </c>
      <c r="U110" s="92">
        <f t="shared" si="61"/>
        <v>352.82</v>
      </c>
      <c r="V110" s="92">
        <f t="shared" si="62"/>
        <v>0</v>
      </c>
      <c r="W110" s="233">
        <f t="shared" si="63"/>
        <v>353.09</v>
      </c>
      <c r="X110" s="611">
        <f t="shared" si="54"/>
        <v>705.03</v>
      </c>
      <c r="Y110" s="610">
        <f t="shared" si="64"/>
        <v>1899.2399999999998</v>
      </c>
      <c r="Z110" s="612">
        <f t="shared" si="55"/>
        <v>0</v>
      </c>
      <c r="AA110" s="476">
        <f t="shared" si="65"/>
        <v>2604.2699999999995</v>
      </c>
      <c r="AB110" s="620">
        <f t="shared" si="66"/>
        <v>1899.2399999999998</v>
      </c>
      <c r="AC110" s="618">
        <f t="shared" si="67"/>
        <v>17261.44</v>
      </c>
      <c r="AD110" s="270">
        <f t="shared" si="68"/>
        <v>16642.07</v>
      </c>
      <c r="AE110" s="614">
        <f t="shared" si="69"/>
        <v>16289.25</v>
      </c>
    </row>
    <row r="111" spans="1:31" ht="20.25">
      <c r="A111" s="687" t="s">
        <v>15</v>
      </c>
      <c r="B111" s="118">
        <f t="shared" si="50"/>
        <v>116844.28000000032</v>
      </c>
      <c r="C111" s="144">
        <v>39158.89</v>
      </c>
      <c r="D111" s="144">
        <v>43402.07</v>
      </c>
      <c r="E111" s="74"/>
      <c r="F111" s="118">
        <f t="shared" si="56"/>
        <v>112601.10000000033</v>
      </c>
      <c r="G111" s="145">
        <f t="shared" si="51"/>
        <v>0</v>
      </c>
      <c r="H111" s="602"/>
      <c r="I111" s="82">
        <v>0</v>
      </c>
      <c r="J111" s="145">
        <f t="shared" si="57"/>
        <v>0</v>
      </c>
      <c r="K111" s="126">
        <f t="shared" si="52"/>
        <v>1920.6600000000003</v>
      </c>
      <c r="L111" s="1243">
        <v>2209.01</v>
      </c>
      <c r="M111" s="1248">
        <v>1200.18</v>
      </c>
      <c r="N111" s="126">
        <f t="shared" si="58"/>
        <v>2929.49</v>
      </c>
      <c r="O111" s="155">
        <f t="shared" si="53"/>
        <v>452.7099999999998</v>
      </c>
      <c r="P111" s="144">
        <v>258.82</v>
      </c>
      <c r="Q111" s="78"/>
      <c r="R111" s="144">
        <v>278.32</v>
      </c>
      <c r="S111" s="234">
        <f t="shared" si="59"/>
        <v>433.20999999999975</v>
      </c>
      <c r="T111" s="235">
        <f t="shared" si="60"/>
        <v>278.32</v>
      </c>
      <c r="U111" s="92">
        <f t="shared" si="61"/>
        <v>1200.18</v>
      </c>
      <c r="V111" s="92">
        <f t="shared" si="62"/>
        <v>0</v>
      </c>
      <c r="W111" s="233">
        <f t="shared" si="63"/>
        <v>1478.5</v>
      </c>
      <c r="X111" s="611">
        <f t="shared" si="54"/>
        <v>389.38</v>
      </c>
      <c r="Y111" s="610">
        <f t="shared" si="64"/>
        <v>1200.18</v>
      </c>
      <c r="Z111" s="612">
        <f t="shared" si="55"/>
        <v>0</v>
      </c>
      <c r="AA111" s="476">
        <f t="shared" si="65"/>
        <v>1589.56</v>
      </c>
      <c r="AB111" s="620">
        <f t="shared" si="66"/>
        <v>1200.18</v>
      </c>
      <c r="AC111" s="618">
        <f t="shared" si="67"/>
        <v>41626.72</v>
      </c>
      <c r="AD111" s="270">
        <f t="shared" si="68"/>
        <v>44880.57</v>
      </c>
      <c r="AE111" s="614">
        <f t="shared" si="69"/>
        <v>43680.39</v>
      </c>
    </row>
    <row r="112" spans="1:32" ht="20.25">
      <c r="A112" s="687" t="s">
        <v>16</v>
      </c>
      <c r="B112" s="118">
        <f t="shared" si="50"/>
        <v>34998.25000000007</v>
      </c>
      <c r="C112" s="144">
        <v>31868.05</v>
      </c>
      <c r="D112" s="144">
        <v>29754.37</v>
      </c>
      <c r="E112" s="74"/>
      <c r="F112" s="118">
        <f t="shared" si="56"/>
        <v>37111.93000000008</v>
      </c>
      <c r="G112" s="145">
        <f t="shared" si="51"/>
        <v>0</v>
      </c>
      <c r="H112" s="602"/>
      <c r="I112" s="82">
        <v>0</v>
      </c>
      <c r="J112" s="145">
        <f t="shared" si="57"/>
        <v>0</v>
      </c>
      <c r="K112" s="126">
        <f t="shared" si="52"/>
        <v>1820.4800000000018</v>
      </c>
      <c r="L112" s="1243">
        <v>328.3</v>
      </c>
      <c r="M112" s="1248">
        <v>984.9</v>
      </c>
      <c r="N112" s="126">
        <f t="shared" si="58"/>
        <v>1163.880000000002</v>
      </c>
      <c r="O112" s="155">
        <f t="shared" si="53"/>
        <v>81.16</v>
      </c>
      <c r="P112" s="144">
        <v>3.74</v>
      </c>
      <c r="Q112" s="78"/>
      <c r="R112" s="144">
        <v>3.74</v>
      </c>
      <c r="S112" s="234">
        <f t="shared" si="59"/>
        <v>81.16</v>
      </c>
      <c r="T112" s="235">
        <f t="shared" si="60"/>
        <v>3.74</v>
      </c>
      <c r="U112" s="92">
        <f t="shared" si="61"/>
        <v>984.9</v>
      </c>
      <c r="V112" s="92">
        <f t="shared" si="62"/>
        <v>0</v>
      </c>
      <c r="W112" s="233">
        <f t="shared" si="63"/>
        <v>988.64</v>
      </c>
      <c r="X112" s="611">
        <f t="shared" si="54"/>
        <v>106.29</v>
      </c>
      <c r="Y112" s="610">
        <f t="shared" si="64"/>
        <v>984.9</v>
      </c>
      <c r="Z112" s="612">
        <f t="shared" si="55"/>
        <v>0</v>
      </c>
      <c r="AA112" s="476">
        <f t="shared" si="65"/>
        <v>1091.19</v>
      </c>
      <c r="AB112" s="620">
        <f t="shared" si="66"/>
        <v>984.9</v>
      </c>
      <c r="AC112" s="618">
        <f t="shared" si="67"/>
        <v>32200.09</v>
      </c>
      <c r="AD112" s="270">
        <f t="shared" si="68"/>
        <v>30743.010000000002</v>
      </c>
      <c r="AE112" s="614">
        <f t="shared" si="69"/>
        <v>29758.11</v>
      </c>
      <c r="AF112" t="s">
        <v>166</v>
      </c>
    </row>
    <row r="113" spans="1:31" ht="20.25">
      <c r="A113" s="73" t="s">
        <v>17</v>
      </c>
      <c r="B113" s="118">
        <f t="shared" si="50"/>
        <v>61588.200000000295</v>
      </c>
      <c r="C113" s="144">
        <v>41492.76</v>
      </c>
      <c r="D113" s="144">
        <v>39338.39</v>
      </c>
      <c r="E113" s="74"/>
      <c r="F113" s="118">
        <f t="shared" si="56"/>
        <v>63742.5700000003</v>
      </c>
      <c r="G113" s="145">
        <f t="shared" si="51"/>
        <v>5572.510000000001</v>
      </c>
      <c r="H113" s="602">
        <v>415.61</v>
      </c>
      <c r="I113" s="82">
        <v>0</v>
      </c>
      <c r="J113" s="145">
        <f t="shared" si="57"/>
        <v>5988.120000000001</v>
      </c>
      <c r="K113" s="126">
        <f t="shared" si="52"/>
        <v>619.5699999999997</v>
      </c>
      <c r="L113" s="1243">
        <v>699.06</v>
      </c>
      <c r="M113" s="1031"/>
      <c r="N113" s="126">
        <f t="shared" si="58"/>
        <v>1318.6299999999997</v>
      </c>
      <c r="O113" s="155">
        <f t="shared" si="53"/>
        <v>73.68000000000004</v>
      </c>
      <c r="P113" s="144">
        <v>25.35</v>
      </c>
      <c r="Q113" s="78"/>
      <c r="R113" s="144">
        <v>19.51</v>
      </c>
      <c r="S113" s="234">
        <f t="shared" si="59"/>
        <v>79.52000000000002</v>
      </c>
      <c r="T113" s="235">
        <f t="shared" si="60"/>
        <v>19.51</v>
      </c>
      <c r="U113" s="92">
        <f t="shared" si="61"/>
        <v>0</v>
      </c>
      <c r="V113" s="92">
        <f t="shared" si="62"/>
        <v>0</v>
      </c>
      <c r="W113" s="233">
        <f t="shared" si="63"/>
        <v>19.51</v>
      </c>
      <c r="X113" s="611">
        <f t="shared" si="54"/>
        <v>19.51</v>
      </c>
      <c r="Y113" s="610">
        <f>V51+U82+U113</f>
        <v>1398.12</v>
      </c>
      <c r="Z113" s="612">
        <f t="shared" si="55"/>
        <v>0</v>
      </c>
      <c r="AA113" s="476">
        <f t="shared" si="65"/>
        <v>1417.6299999999999</v>
      </c>
      <c r="AB113" s="1021">
        <f t="shared" si="66"/>
        <v>1398.12</v>
      </c>
      <c r="AC113" s="618">
        <f t="shared" si="67"/>
        <v>42632.78</v>
      </c>
      <c r="AD113" s="270">
        <f t="shared" si="68"/>
        <v>39357.9</v>
      </c>
      <c r="AE113" s="614">
        <f t="shared" si="69"/>
        <v>39357.9</v>
      </c>
    </row>
    <row r="114" spans="1:32" ht="22.5" customHeight="1">
      <c r="A114" s="687" t="s">
        <v>18</v>
      </c>
      <c r="B114" s="118">
        <f t="shared" si="50"/>
        <v>175921.95000000007</v>
      </c>
      <c r="C114" s="144">
        <v>88445.42</v>
      </c>
      <c r="D114" s="144">
        <v>93266.75</v>
      </c>
      <c r="E114" s="74"/>
      <c r="F114" s="118">
        <f t="shared" si="56"/>
        <v>171100.62000000005</v>
      </c>
      <c r="G114" s="145">
        <f t="shared" si="51"/>
        <v>840.0499999999986</v>
      </c>
      <c r="H114" s="602"/>
      <c r="I114" s="82">
        <v>0</v>
      </c>
      <c r="J114" s="145">
        <f t="shared" si="57"/>
        <v>840.0499999999986</v>
      </c>
      <c r="K114" s="126">
        <f t="shared" si="52"/>
        <v>2773.0899999999992</v>
      </c>
      <c r="L114" s="1243">
        <v>2504.43</v>
      </c>
      <c r="M114" s="1248">
        <v>3488.2</v>
      </c>
      <c r="N114" s="126">
        <f t="shared" si="58"/>
        <v>1789.3199999999988</v>
      </c>
      <c r="O114" s="155">
        <f t="shared" si="53"/>
        <v>568.24</v>
      </c>
      <c r="P114" s="144">
        <v>396.15</v>
      </c>
      <c r="Q114" s="78"/>
      <c r="R114" s="144">
        <v>247.29</v>
      </c>
      <c r="S114" s="234">
        <f t="shared" si="59"/>
        <v>717.1</v>
      </c>
      <c r="T114" s="235">
        <f t="shared" si="60"/>
        <v>247.29</v>
      </c>
      <c r="U114" s="92">
        <f t="shared" si="61"/>
        <v>3488.2</v>
      </c>
      <c r="V114" s="92">
        <f t="shared" si="62"/>
        <v>0</v>
      </c>
      <c r="W114" s="233">
        <f t="shared" si="63"/>
        <v>3735.49</v>
      </c>
      <c r="X114" s="611">
        <f t="shared" si="54"/>
        <v>652.66</v>
      </c>
      <c r="Y114" s="610">
        <f t="shared" si="64"/>
        <v>5037.62</v>
      </c>
      <c r="Z114" s="612">
        <f t="shared" si="55"/>
        <v>0</v>
      </c>
      <c r="AA114" s="476">
        <f t="shared" si="65"/>
        <v>5690.28</v>
      </c>
      <c r="AB114" s="620">
        <f t="shared" si="66"/>
        <v>5037.62</v>
      </c>
      <c r="AC114" s="618">
        <f t="shared" si="67"/>
        <v>91345.99999999999</v>
      </c>
      <c r="AD114" s="270">
        <f t="shared" si="68"/>
        <v>97002.23999999999</v>
      </c>
      <c r="AE114" s="614">
        <f t="shared" si="69"/>
        <v>93514.04</v>
      </c>
      <c r="AF114" t="s">
        <v>167</v>
      </c>
    </row>
    <row r="115" spans="1:31" ht="21" customHeight="1">
      <c r="A115" s="687" t="s">
        <v>54</v>
      </c>
      <c r="B115" s="118">
        <f t="shared" si="50"/>
        <v>59324.64000000036</v>
      </c>
      <c r="C115" s="144">
        <v>37931.1</v>
      </c>
      <c r="D115" s="144">
        <v>37662.37</v>
      </c>
      <c r="E115" s="74"/>
      <c r="F115" s="118">
        <f t="shared" si="56"/>
        <v>59593.37000000037</v>
      </c>
      <c r="G115" s="145">
        <f t="shared" si="51"/>
        <v>4862.830000000003</v>
      </c>
      <c r="H115" s="602">
        <v>295.41</v>
      </c>
      <c r="I115" s="82">
        <v>0</v>
      </c>
      <c r="J115" s="145">
        <f t="shared" si="57"/>
        <v>5158.2400000000025</v>
      </c>
      <c r="K115" s="126">
        <f t="shared" si="52"/>
        <v>0</v>
      </c>
      <c r="L115" s="526"/>
      <c r="M115" s="1031"/>
      <c r="N115" s="126">
        <f t="shared" si="58"/>
        <v>0</v>
      </c>
      <c r="O115" s="155">
        <f t="shared" si="53"/>
        <v>-1074.57</v>
      </c>
      <c r="P115" s="144">
        <v>7.78</v>
      </c>
      <c r="Q115" s="78"/>
      <c r="R115" s="144">
        <v>7.28</v>
      </c>
      <c r="S115" s="234">
        <f t="shared" si="59"/>
        <v>-1074.07</v>
      </c>
      <c r="T115" s="235">
        <f t="shared" si="60"/>
        <v>7.28</v>
      </c>
      <c r="U115" s="92">
        <f t="shared" si="61"/>
        <v>0</v>
      </c>
      <c r="V115" s="92">
        <f t="shared" si="62"/>
        <v>0</v>
      </c>
      <c r="W115" s="233">
        <f t="shared" si="63"/>
        <v>7.28</v>
      </c>
      <c r="X115" s="611">
        <f t="shared" si="54"/>
        <v>54.97</v>
      </c>
      <c r="Y115" s="610">
        <f t="shared" si="64"/>
        <v>0</v>
      </c>
      <c r="Z115" s="612">
        <f t="shared" si="55"/>
        <v>0</v>
      </c>
      <c r="AA115" s="476">
        <f t="shared" si="65"/>
        <v>54.97</v>
      </c>
      <c r="AB115" s="620">
        <f t="shared" si="66"/>
        <v>0</v>
      </c>
      <c r="AC115" s="618">
        <f t="shared" si="67"/>
        <v>38234.29</v>
      </c>
      <c r="AD115" s="270">
        <f t="shared" si="68"/>
        <v>37669.65</v>
      </c>
      <c r="AE115" s="614">
        <f t="shared" si="69"/>
        <v>37669.65</v>
      </c>
    </row>
    <row r="116" spans="1:31" ht="20.25">
      <c r="A116" s="687" t="s">
        <v>49</v>
      </c>
      <c r="B116" s="118">
        <f t="shared" si="50"/>
        <v>205473.84000000014</v>
      </c>
      <c r="C116" s="144">
        <v>80693.12</v>
      </c>
      <c r="D116" s="144">
        <v>81150.03</v>
      </c>
      <c r="E116" s="74"/>
      <c r="F116" s="118">
        <f t="shared" si="56"/>
        <v>205016.93000000014</v>
      </c>
      <c r="G116" s="145">
        <f t="shared" si="51"/>
        <v>12363.760000000002</v>
      </c>
      <c r="H116" s="602">
        <v>922.12</v>
      </c>
      <c r="I116" s="82">
        <v>0</v>
      </c>
      <c r="J116" s="145">
        <f t="shared" si="57"/>
        <v>13285.880000000003</v>
      </c>
      <c r="K116" s="126">
        <f t="shared" si="52"/>
        <v>5669.2000000000035</v>
      </c>
      <c r="L116" s="1243">
        <v>4017.96</v>
      </c>
      <c r="M116" s="1248">
        <v>3257.9</v>
      </c>
      <c r="N116" s="126">
        <f t="shared" si="58"/>
        <v>6429.260000000004</v>
      </c>
      <c r="O116" s="155">
        <f t="shared" si="53"/>
        <v>-820.8700000000001</v>
      </c>
      <c r="P116" s="144">
        <v>210.74</v>
      </c>
      <c r="Q116" s="78"/>
      <c r="R116" s="144">
        <v>227.07</v>
      </c>
      <c r="S116" s="234">
        <f t="shared" si="59"/>
        <v>-837.2</v>
      </c>
      <c r="T116" s="235">
        <f t="shared" si="60"/>
        <v>227.07</v>
      </c>
      <c r="U116" s="92">
        <f t="shared" si="61"/>
        <v>3257.9</v>
      </c>
      <c r="V116" s="92">
        <f t="shared" si="62"/>
        <v>0</v>
      </c>
      <c r="W116" s="233">
        <f t="shared" si="63"/>
        <v>3484.9700000000003</v>
      </c>
      <c r="X116" s="611">
        <f t="shared" si="54"/>
        <v>328.38</v>
      </c>
      <c r="Y116" s="610">
        <f t="shared" si="64"/>
        <v>7739.91</v>
      </c>
      <c r="Z116" s="612">
        <f t="shared" si="55"/>
        <v>0</v>
      </c>
      <c r="AA116" s="476">
        <f t="shared" si="65"/>
        <v>8068.29</v>
      </c>
      <c r="AB116" s="620">
        <f t="shared" si="66"/>
        <v>7739.91</v>
      </c>
      <c r="AC116" s="618">
        <f t="shared" si="67"/>
        <v>85843.94</v>
      </c>
      <c r="AD116" s="270">
        <f t="shared" si="68"/>
        <v>84635</v>
      </c>
      <c r="AE116" s="614">
        <f t="shared" si="69"/>
        <v>81377.1</v>
      </c>
    </row>
    <row r="117" spans="1:31" ht="20.25">
      <c r="A117" s="167" t="s">
        <v>19</v>
      </c>
      <c r="B117" s="118">
        <f t="shared" si="50"/>
        <v>99198.55999999995</v>
      </c>
      <c r="C117" s="144">
        <v>59520.65</v>
      </c>
      <c r="D117" s="144">
        <v>64685.31</v>
      </c>
      <c r="E117" s="74"/>
      <c r="F117" s="118">
        <f t="shared" si="56"/>
        <v>94033.89999999997</v>
      </c>
      <c r="G117" s="145">
        <f t="shared" si="51"/>
        <v>5801.679999999998</v>
      </c>
      <c r="H117" s="602">
        <v>402.45</v>
      </c>
      <c r="I117" s="82">
        <v>0</v>
      </c>
      <c r="J117" s="145">
        <f t="shared" si="57"/>
        <v>6204.129999999997</v>
      </c>
      <c r="K117" s="126">
        <f t="shared" si="52"/>
        <v>2658.130000000001</v>
      </c>
      <c r="L117" s="1243">
        <v>1175.67</v>
      </c>
      <c r="M117" s="1248">
        <v>3059.63</v>
      </c>
      <c r="N117" s="126">
        <f t="shared" si="58"/>
        <v>774.170000000001</v>
      </c>
      <c r="O117" s="155">
        <f t="shared" si="53"/>
        <v>239.41000000000034</v>
      </c>
      <c r="P117" s="144">
        <v>47.58</v>
      </c>
      <c r="Q117" s="78"/>
      <c r="R117" s="144">
        <v>413.32</v>
      </c>
      <c r="S117" s="234">
        <f t="shared" si="59"/>
        <v>-126.32999999999964</v>
      </c>
      <c r="T117" s="235">
        <f t="shared" si="60"/>
        <v>413.32</v>
      </c>
      <c r="U117" s="92">
        <f t="shared" si="61"/>
        <v>3059.63</v>
      </c>
      <c r="V117" s="92">
        <f t="shared" si="62"/>
        <v>0</v>
      </c>
      <c r="W117" s="233">
        <f t="shared" si="63"/>
        <v>3472.9500000000003</v>
      </c>
      <c r="X117" s="611">
        <f t="shared" si="54"/>
        <v>658.9300000000001</v>
      </c>
      <c r="Y117" s="610">
        <f t="shared" si="64"/>
        <v>3480.02</v>
      </c>
      <c r="Z117" s="612">
        <f t="shared" si="55"/>
        <v>0</v>
      </c>
      <c r="AA117" s="476">
        <f t="shared" si="65"/>
        <v>4138.95</v>
      </c>
      <c r="AB117" s="620">
        <f t="shared" si="66"/>
        <v>3480.02</v>
      </c>
      <c r="AC117" s="618">
        <f t="shared" si="67"/>
        <v>61146.35</v>
      </c>
      <c r="AD117" s="270">
        <f t="shared" si="68"/>
        <v>68158.26000000001</v>
      </c>
      <c r="AE117" s="614">
        <f t="shared" si="69"/>
        <v>65098.63</v>
      </c>
    </row>
    <row r="118" spans="1:31" ht="20.25">
      <c r="A118" s="688" t="s">
        <v>20</v>
      </c>
      <c r="B118" s="118">
        <f t="shared" si="50"/>
        <v>70642.95000000007</v>
      </c>
      <c r="C118" s="183">
        <v>38671.41</v>
      </c>
      <c r="D118" s="183">
        <v>40575.2</v>
      </c>
      <c r="E118" s="131"/>
      <c r="F118" s="118">
        <f t="shared" si="56"/>
        <v>68739.16000000008</v>
      </c>
      <c r="G118" s="145">
        <f t="shared" si="51"/>
        <v>0</v>
      </c>
      <c r="H118" s="603"/>
      <c r="I118" s="82">
        <v>0</v>
      </c>
      <c r="J118" s="145">
        <f t="shared" si="57"/>
        <v>0</v>
      </c>
      <c r="K118" s="126">
        <f t="shared" si="52"/>
        <v>3166.2699999999995</v>
      </c>
      <c r="L118" s="1245">
        <v>777.4</v>
      </c>
      <c r="M118" s="914"/>
      <c r="N118" s="126">
        <f t="shared" si="58"/>
        <v>3943.6699999999996</v>
      </c>
      <c r="O118" s="155">
        <f t="shared" si="53"/>
        <v>189.42999999999995</v>
      </c>
      <c r="P118" s="183">
        <v>30.48</v>
      </c>
      <c r="Q118" s="135"/>
      <c r="R118" s="183">
        <v>115.32</v>
      </c>
      <c r="S118" s="234">
        <f t="shared" si="59"/>
        <v>104.58999999999995</v>
      </c>
      <c r="T118" s="235">
        <f t="shared" si="60"/>
        <v>115.32</v>
      </c>
      <c r="U118" s="92">
        <f t="shared" si="61"/>
        <v>0</v>
      </c>
      <c r="V118" s="92">
        <f t="shared" si="62"/>
        <v>0</v>
      </c>
      <c r="W118" s="233">
        <f t="shared" si="63"/>
        <v>115.32</v>
      </c>
      <c r="X118" s="611">
        <f t="shared" si="54"/>
        <v>184.26</v>
      </c>
      <c r="Y118" s="610">
        <f t="shared" si="64"/>
        <v>2067</v>
      </c>
      <c r="Z118" s="612">
        <f t="shared" si="55"/>
        <v>0</v>
      </c>
      <c r="AA118" s="476">
        <f t="shared" si="65"/>
        <v>2251.26</v>
      </c>
      <c r="AB118" s="620">
        <f t="shared" si="66"/>
        <v>2067</v>
      </c>
      <c r="AC118" s="618">
        <f t="shared" si="67"/>
        <v>39479.29000000001</v>
      </c>
      <c r="AD118" s="270">
        <f t="shared" si="68"/>
        <v>40690.52</v>
      </c>
      <c r="AE118" s="614">
        <f t="shared" si="69"/>
        <v>40690.52</v>
      </c>
    </row>
    <row r="119" spans="1:31" ht="26.25" customHeight="1">
      <c r="A119" s="690" t="s">
        <v>123</v>
      </c>
      <c r="B119" s="118">
        <f t="shared" si="50"/>
        <v>-443231.6700000005</v>
      </c>
      <c r="C119" s="183">
        <v>47200.74</v>
      </c>
      <c r="D119" s="183">
        <v>53170.47</v>
      </c>
      <c r="E119" s="131"/>
      <c r="F119" s="118">
        <f t="shared" si="56"/>
        <v>-449201.4000000005</v>
      </c>
      <c r="G119" s="145">
        <f t="shared" si="51"/>
        <v>571.9</v>
      </c>
      <c r="H119" s="600">
        <v>303.19</v>
      </c>
      <c r="I119" s="82">
        <v>0</v>
      </c>
      <c r="J119" s="145">
        <f t="shared" si="57"/>
        <v>875.0899999999999</v>
      </c>
      <c r="K119" s="126">
        <f t="shared" si="52"/>
        <v>1603.84</v>
      </c>
      <c r="L119" s="1246">
        <v>1603.84</v>
      </c>
      <c r="M119" s="1248">
        <v>2417.72</v>
      </c>
      <c r="N119" s="126">
        <f t="shared" si="58"/>
        <v>789.96</v>
      </c>
      <c r="O119" s="155">
        <f t="shared" si="53"/>
        <v>-14.93</v>
      </c>
      <c r="P119" s="183">
        <v>89.35</v>
      </c>
      <c r="Q119" s="135"/>
      <c r="R119" s="183">
        <v>106.97</v>
      </c>
      <c r="S119" s="234">
        <f t="shared" si="59"/>
        <v>-32.55000000000001</v>
      </c>
      <c r="T119" s="235">
        <f t="shared" si="60"/>
        <v>106.97</v>
      </c>
      <c r="U119" s="92">
        <f t="shared" si="61"/>
        <v>2417.72</v>
      </c>
      <c r="V119" s="92">
        <f t="shared" si="62"/>
        <v>0</v>
      </c>
      <c r="W119" s="233">
        <f t="shared" si="63"/>
        <v>2524.6899999999996</v>
      </c>
      <c r="X119" s="611">
        <f t="shared" si="54"/>
        <v>179.9</v>
      </c>
      <c r="Y119" s="610">
        <f t="shared" si="64"/>
        <v>4021.5599999999995</v>
      </c>
      <c r="Z119" s="612">
        <f t="shared" si="55"/>
        <v>0</v>
      </c>
      <c r="AA119" s="476">
        <f t="shared" si="65"/>
        <v>4201.459999999999</v>
      </c>
      <c r="AB119" s="620">
        <f t="shared" si="66"/>
        <v>4021.5599999999995</v>
      </c>
      <c r="AC119" s="618">
        <f t="shared" si="67"/>
        <v>49197.119999999995</v>
      </c>
      <c r="AD119" s="270">
        <f t="shared" si="68"/>
        <v>55695.16</v>
      </c>
      <c r="AE119" s="614">
        <f t="shared" si="69"/>
        <v>53277.44</v>
      </c>
    </row>
    <row r="120" spans="1:31" ht="24" customHeight="1">
      <c r="A120" s="1240" t="s">
        <v>124</v>
      </c>
      <c r="B120" s="118">
        <f t="shared" si="50"/>
        <v>24679.35999999993</v>
      </c>
      <c r="C120" s="183">
        <v>16815.18</v>
      </c>
      <c r="D120" s="183">
        <v>17967.53</v>
      </c>
      <c r="E120" s="131"/>
      <c r="F120" s="118">
        <f t="shared" si="56"/>
        <v>23527.009999999937</v>
      </c>
      <c r="G120" s="145">
        <f t="shared" si="51"/>
        <v>0</v>
      </c>
      <c r="H120" s="604"/>
      <c r="I120" s="82">
        <v>0</v>
      </c>
      <c r="J120" s="145">
        <f t="shared" si="57"/>
        <v>0</v>
      </c>
      <c r="K120" s="126">
        <f t="shared" si="52"/>
        <v>0</v>
      </c>
      <c r="L120" s="965">
        <v>0</v>
      </c>
      <c r="M120" s="1032"/>
      <c r="N120" s="126">
        <f t="shared" si="58"/>
        <v>0</v>
      </c>
      <c r="O120" s="155">
        <f t="shared" si="53"/>
        <v>-7.280000000000008</v>
      </c>
      <c r="P120" s="183">
        <v>31.94</v>
      </c>
      <c r="Q120" s="135"/>
      <c r="R120" s="183">
        <v>31.29</v>
      </c>
      <c r="S120" s="234">
        <f t="shared" si="59"/>
        <v>-6.630000000000006</v>
      </c>
      <c r="T120" s="235">
        <f t="shared" si="60"/>
        <v>31.29</v>
      </c>
      <c r="U120" s="92">
        <f t="shared" si="61"/>
        <v>0</v>
      </c>
      <c r="V120" s="92">
        <f t="shared" si="62"/>
        <v>0</v>
      </c>
      <c r="W120" s="233">
        <f t="shared" si="63"/>
        <v>31.29</v>
      </c>
      <c r="X120" s="611">
        <f t="shared" si="54"/>
        <v>106.47999999999999</v>
      </c>
      <c r="Y120" s="610">
        <f t="shared" si="64"/>
        <v>0</v>
      </c>
      <c r="Z120" s="612">
        <f t="shared" si="55"/>
        <v>0</v>
      </c>
      <c r="AA120" s="476">
        <f t="shared" si="65"/>
        <v>106.47999999999999</v>
      </c>
      <c r="AB120" s="620">
        <f t="shared" si="66"/>
        <v>0</v>
      </c>
      <c r="AC120" s="618">
        <f t="shared" si="67"/>
        <v>16847.12</v>
      </c>
      <c r="AD120" s="270">
        <f t="shared" si="68"/>
        <v>17998.82</v>
      </c>
      <c r="AE120" s="614">
        <f t="shared" si="69"/>
        <v>17998.82</v>
      </c>
    </row>
    <row r="121" spans="1:31" ht="23.25" customHeight="1">
      <c r="A121" s="1241" t="s">
        <v>188</v>
      </c>
      <c r="B121" s="118">
        <f t="shared" si="50"/>
        <v>23031.189999999937</v>
      </c>
      <c r="C121" s="183">
        <v>44625.71</v>
      </c>
      <c r="D121" s="183">
        <v>42576.11</v>
      </c>
      <c r="E121" s="131"/>
      <c r="F121" s="118">
        <f t="shared" si="56"/>
        <v>25080.789999999935</v>
      </c>
      <c r="G121" s="145">
        <f t="shared" si="51"/>
        <v>3094.66</v>
      </c>
      <c r="H121" s="604">
        <v>382.12</v>
      </c>
      <c r="I121" s="82">
        <v>0</v>
      </c>
      <c r="J121" s="145">
        <f t="shared" si="57"/>
        <v>3476.7799999999997</v>
      </c>
      <c r="K121" s="126">
        <f t="shared" si="52"/>
        <v>6216.790000000002</v>
      </c>
      <c r="L121" s="1247">
        <v>1649.28</v>
      </c>
      <c r="M121" s="1249">
        <v>11655.37</v>
      </c>
      <c r="N121" s="126">
        <f t="shared" si="58"/>
        <v>-3789.2999999999993</v>
      </c>
      <c r="O121" s="155">
        <f t="shared" si="53"/>
        <v>-4842.75</v>
      </c>
      <c r="P121" s="183">
        <v>37.54</v>
      </c>
      <c r="Q121" s="135"/>
      <c r="R121" s="183">
        <v>32.55</v>
      </c>
      <c r="S121" s="234">
        <f t="shared" si="59"/>
        <v>-4837.76</v>
      </c>
      <c r="T121" s="235">
        <f t="shared" si="60"/>
        <v>32.55</v>
      </c>
      <c r="U121" s="92">
        <f t="shared" si="61"/>
        <v>11655.37</v>
      </c>
      <c r="V121" s="92">
        <f t="shared" si="62"/>
        <v>0</v>
      </c>
      <c r="W121" s="233">
        <f t="shared" si="63"/>
        <v>11687.92</v>
      </c>
      <c r="X121" s="611">
        <f t="shared" si="54"/>
        <v>148.31</v>
      </c>
      <c r="Y121" s="610">
        <f t="shared" si="64"/>
        <v>13746.330000000002</v>
      </c>
      <c r="Z121" s="612">
        <f t="shared" si="55"/>
        <v>0</v>
      </c>
      <c r="AA121" s="476">
        <f t="shared" si="65"/>
        <v>13894.640000000001</v>
      </c>
      <c r="AB121" s="620">
        <f t="shared" si="66"/>
        <v>13746.330000000002</v>
      </c>
      <c r="AC121" s="618">
        <f t="shared" si="67"/>
        <v>46694.65</v>
      </c>
      <c r="AD121" s="270">
        <f t="shared" si="68"/>
        <v>54264.030000000006</v>
      </c>
      <c r="AE121" s="614">
        <f t="shared" si="69"/>
        <v>42608.66</v>
      </c>
    </row>
    <row r="122" spans="1:31" ht="25.5" customHeight="1">
      <c r="A122" s="1241" t="s">
        <v>189</v>
      </c>
      <c r="B122" s="118">
        <f t="shared" si="50"/>
        <v>85255.02000000002</v>
      </c>
      <c r="C122" s="183">
        <v>51798.79</v>
      </c>
      <c r="D122" s="183">
        <v>56393.75</v>
      </c>
      <c r="E122" s="131"/>
      <c r="F122" s="118">
        <f t="shared" si="56"/>
        <v>80660.06000000003</v>
      </c>
      <c r="G122" s="145">
        <f t="shared" si="51"/>
        <v>10245.16</v>
      </c>
      <c r="H122" s="604">
        <v>2127.68</v>
      </c>
      <c r="I122" s="82">
        <v>0</v>
      </c>
      <c r="J122" s="145">
        <f t="shared" si="57"/>
        <v>12372.84</v>
      </c>
      <c r="K122" s="126">
        <f t="shared" si="52"/>
        <v>-17139.629999999997</v>
      </c>
      <c r="L122" s="1247">
        <v>3155.64</v>
      </c>
      <c r="M122" s="1032"/>
      <c r="N122" s="126">
        <f t="shared" si="58"/>
        <v>-13983.989999999998</v>
      </c>
      <c r="O122" s="155">
        <f t="shared" si="53"/>
        <v>-45741.81999999999</v>
      </c>
      <c r="P122" s="183">
        <v>116.83</v>
      </c>
      <c r="Q122" s="135"/>
      <c r="R122" s="183">
        <f>116.36+1051.34</f>
        <v>1167.6999999999998</v>
      </c>
      <c r="S122" s="234">
        <f t="shared" si="59"/>
        <v>-46792.68999999999</v>
      </c>
      <c r="T122" s="235">
        <f t="shared" si="60"/>
        <v>1167.6999999999998</v>
      </c>
      <c r="U122" s="92">
        <f t="shared" si="61"/>
        <v>0</v>
      </c>
      <c r="V122" s="92">
        <f t="shared" si="62"/>
        <v>0</v>
      </c>
      <c r="W122" s="233">
        <f t="shared" si="63"/>
        <v>1167.6999999999998</v>
      </c>
      <c r="X122" s="611">
        <f t="shared" si="54"/>
        <v>2019.2199999999998</v>
      </c>
      <c r="Y122" s="610">
        <f t="shared" si="64"/>
        <v>2103.57</v>
      </c>
      <c r="Z122" s="612">
        <f t="shared" si="55"/>
        <v>0</v>
      </c>
      <c r="AA122" s="476">
        <f t="shared" si="65"/>
        <v>4122.79</v>
      </c>
      <c r="AB122" s="620">
        <f t="shared" si="66"/>
        <v>2103.57</v>
      </c>
      <c r="AC122" s="618">
        <f t="shared" si="67"/>
        <v>57198.94</v>
      </c>
      <c r="AD122" s="270">
        <f t="shared" si="68"/>
        <v>57561.45</v>
      </c>
      <c r="AE122" s="614">
        <f t="shared" si="69"/>
        <v>57561.45</v>
      </c>
    </row>
    <row r="123" spans="1:31" ht="23.25" customHeight="1">
      <c r="A123" s="1241" t="s">
        <v>218</v>
      </c>
      <c r="B123" s="118">
        <f t="shared" si="50"/>
        <v>113808.01000000001</v>
      </c>
      <c r="C123" s="183">
        <v>47756.29</v>
      </c>
      <c r="D123" s="183">
        <v>46873.66</v>
      </c>
      <c r="E123" s="131"/>
      <c r="F123" s="118">
        <f t="shared" si="56"/>
        <v>114690.64000000001</v>
      </c>
      <c r="G123" s="145">
        <f t="shared" si="51"/>
        <v>0</v>
      </c>
      <c r="H123" s="604"/>
      <c r="I123" s="82">
        <v>0</v>
      </c>
      <c r="J123" s="145">
        <f t="shared" si="57"/>
        <v>0</v>
      </c>
      <c r="K123" s="126">
        <f t="shared" si="52"/>
        <v>-62945.81</v>
      </c>
      <c r="L123" s="965">
        <v>0</v>
      </c>
      <c r="M123" s="1032"/>
      <c r="N123" s="126">
        <f t="shared" si="58"/>
        <v>-62945.81</v>
      </c>
      <c r="O123" s="155">
        <f t="shared" si="53"/>
        <v>-58550.720000000016</v>
      </c>
      <c r="P123" s="183">
        <v>14.79</v>
      </c>
      <c r="Q123" s="135"/>
      <c r="R123" s="183">
        <v>10.45</v>
      </c>
      <c r="S123" s="234">
        <f t="shared" si="59"/>
        <v>-58546.38000000001</v>
      </c>
      <c r="T123" s="235">
        <f t="shared" si="60"/>
        <v>10.45</v>
      </c>
      <c r="U123" s="92">
        <f t="shared" si="61"/>
        <v>0</v>
      </c>
      <c r="V123" s="92">
        <f t="shared" si="62"/>
        <v>0</v>
      </c>
      <c r="W123" s="233">
        <f t="shared" si="63"/>
        <v>10.45</v>
      </c>
      <c r="X123" s="611">
        <f t="shared" si="54"/>
        <v>101.47</v>
      </c>
      <c r="Y123" s="610">
        <f t="shared" si="64"/>
        <v>2174.33</v>
      </c>
      <c r="Z123" s="612">
        <f t="shared" si="55"/>
        <v>0</v>
      </c>
      <c r="AA123" s="476">
        <f t="shared" si="65"/>
        <v>2275.7999999999997</v>
      </c>
      <c r="AB123" s="620">
        <f t="shared" si="66"/>
        <v>2174.33</v>
      </c>
      <c r="AC123" s="618">
        <f t="shared" si="67"/>
        <v>47771.08</v>
      </c>
      <c r="AD123" s="270">
        <f t="shared" si="68"/>
        <v>46884.11</v>
      </c>
      <c r="AE123" s="614">
        <f t="shared" si="69"/>
        <v>46884.11</v>
      </c>
    </row>
    <row r="124" spans="1:31" ht="23.25" customHeight="1">
      <c r="A124" s="1241" t="s">
        <v>238</v>
      </c>
      <c r="B124" s="118">
        <f t="shared" si="50"/>
        <v>64408.68000000001</v>
      </c>
      <c r="C124" s="183">
        <v>17768.29</v>
      </c>
      <c r="D124" s="183">
        <v>38274.26</v>
      </c>
      <c r="E124" s="131"/>
      <c r="F124" s="118">
        <f t="shared" si="56"/>
        <v>43902.71</v>
      </c>
      <c r="G124" s="145">
        <f t="shared" si="51"/>
        <v>0</v>
      </c>
      <c r="H124" s="604"/>
      <c r="I124" s="82">
        <v>0</v>
      </c>
      <c r="J124" s="145">
        <f t="shared" si="57"/>
        <v>0</v>
      </c>
      <c r="K124" s="126">
        <f t="shared" si="52"/>
        <v>0</v>
      </c>
      <c r="L124" s="965">
        <v>0</v>
      </c>
      <c r="M124" s="1032"/>
      <c r="N124" s="126">
        <f t="shared" si="58"/>
        <v>0</v>
      </c>
      <c r="O124" s="155">
        <f t="shared" si="53"/>
        <v>38.170000000000016</v>
      </c>
      <c r="P124" s="183">
        <v>459.22</v>
      </c>
      <c r="Q124" s="135"/>
      <c r="R124" s="183">
        <f>487.33+1949.41</f>
        <v>2436.7400000000002</v>
      </c>
      <c r="S124" s="234">
        <f t="shared" si="59"/>
        <v>-1939.3500000000001</v>
      </c>
      <c r="T124" s="235">
        <f t="shared" si="60"/>
        <v>2436.7400000000002</v>
      </c>
      <c r="U124" s="92">
        <f t="shared" si="61"/>
        <v>0</v>
      </c>
      <c r="V124" s="92">
        <f t="shared" si="62"/>
        <v>0</v>
      </c>
      <c r="W124" s="233">
        <f t="shared" si="63"/>
        <v>2436.7400000000002</v>
      </c>
      <c r="X124" s="611">
        <f t="shared" si="54"/>
        <v>2614.3900000000003</v>
      </c>
      <c r="Y124" s="610">
        <f t="shared" si="64"/>
        <v>0</v>
      </c>
      <c r="Z124" s="612">
        <f t="shared" si="55"/>
        <v>0</v>
      </c>
      <c r="AA124" s="476">
        <f t="shared" si="65"/>
        <v>2614.3900000000003</v>
      </c>
      <c r="AB124" s="620">
        <f t="shared" si="66"/>
        <v>0</v>
      </c>
      <c r="AC124" s="618">
        <f t="shared" si="67"/>
        <v>18227.510000000002</v>
      </c>
      <c r="AD124" s="270">
        <f t="shared" si="68"/>
        <v>40711</v>
      </c>
      <c r="AE124" s="614">
        <f t="shared" si="69"/>
        <v>40711</v>
      </c>
    </row>
    <row r="125" spans="1:31" ht="23.25" customHeight="1">
      <c r="A125" s="1241" t="s">
        <v>304</v>
      </c>
      <c r="B125" s="118">
        <f t="shared" si="50"/>
        <v>382955.0899999998</v>
      </c>
      <c r="C125" s="183">
        <v>62547.26</v>
      </c>
      <c r="D125" s="183">
        <v>77534.72</v>
      </c>
      <c r="E125" s="131"/>
      <c r="F125" s="118">
        <f t="shared" si="56"/>
        <v>367967.6299999998</v>
      </c>
      <c r="G125" s="145">
        <f t="shared" si="51"/>
        <v>0</v>
      </c>
      <c r="H125" s="604"/>
      <c r="I125" s="82">
        <v>0</v>
      </c>
      <c r="J125" s="145">
        <f t="shared" si="57"/>
        <v>0</v>
      </c>
      <c r="K125" s="126">
        <f t="shared" si="52"/>
        <v>1498.6</v>
      </c>
      <c r="L125" s="1244">
        <v>1889.09</v>
      </c>
      <c r="M125" s="1249">
        <v>3344.71</v>
      </c>
      <c r="N125" s="126">
        <f t="shared" si="58"/>
        <v>42.97999999999956</v>
      </c>
      <c r="O125" s="155">
        <f t="shared" si="53"/>
        <v>-7197.71</v>
      </c>
      <c r="P125" s="183">
        <v>487.62</v>
      </c>
      <c r="Q125" s="135"/>
      <c r="R125" s="183">
        <f>498.92+3381.94</f>
        <v>3880.86</v>
      </c>
      <c r="S125" s="234">
        <f t="shared" si="59"/>
        <v>-10590.95</v>
      </c>
      <c r="T125" s="235">
        <f t="shared" si="60"/>
        <v>3880.86</v>
      </c>
      <c r="U125" s="92">
        <f t="shared" si="61"/>
        <v>3344.71</v>
      </c>
      <c r="V125" s="92">
        <f t="shared" si="62"/>
        <v>0</v>
      </c>
      <c r="W125" s="233">
        <f t="shared" si="63"/>
        <v>7225.57</v>
      </c>
      <c r="X125" s="611">
        <f t="shared" si="54"/>
        <v>11771.960000000001</v>
      </c>
      <c r="Y125" s="610">
        <f t="shared" si="64"/>
        <v>5624.29</v>
      </c>
      <c r="Z125" s="612">
        <f t="shared" si="55"/>
        <v>0</v>
      </c>
      <c r="AA125" s="476">
        <f t="shared" si="65"/>
        <v>17396.25</v>
      </c>
      <c r="AB125" s="620">
        <f t="shared" si="66"/>
        <v>5624.29</v>
      </c>
      <c r="AC125" s="618">
        <f t="shared" si="67"/>
        <v>64923.97</v>
      </c>
      <c r="AD125" s="270">
        <f t="shared" si="68"/>
        <v>84760.29000000001</v>
      </c>
      <c r="AE125" s="614">
        <f t="shared" si="69"/>
        <v>81415.58</v>
      </c>
    </row>
    <row r="126" spans="1:31" ht="23.25" customHeight="1">
      <c r="A126" s="1241" t="s">
        <v>321</v>
      </c>
      <c r="B126" s="118">
        <f t="shared" si="50"/>
        <v>567020.5999999999</v>
      </c>
      <c r="C126" s="183">
        <v>63992.51</v>
      </c>
      <c r="D126" s="183">
        <v>176749.93</v>
      </c>
      <c r="E126" s="131"/>
      <c r="F126" s="118">
        <f t="shared" si="56"/>
        <v>454263.1799999999</v>
      </c>
      <c r="G126" s="145">
        <f t="shared" si="51"/>
        <v>0</v>
      </c>
      <c r="H126" s="604"/>
      <c r="I126" s="82">
        <v>0</v>
      </c>
      <c r="J126" s="145">
        <f t="shared" si="57"/>
        <v>0</v>
      </c>
      <c r="K126" s="126">
        <f t="shared" si="52"/>
        <v>6929.710000000001</v>
      </c>
      <c r="L126" s="1244">
        <v>6247.31</v>
      </c>
      <c r="M126" s="1249">
        <v>6247.31</v>
      </c>
      <c r="N126" s="126">
        <f t="shared" si="58"/>
        <v>6929.71</v>
      </c>
      <c r="O126" s="155">
        <f t="shared" si="53"/>
        <v>-51600.44</v>
      </c>
      <c r="P126" s="183">
        <v>1937.08</v>
      </c>
      <c r="Q126" s="135"/>
      <c r="R126" s="183">
        <f>1877.3+33926.65</f>
        <v>35803.950000000004</v>
      </c>
      <c r="S126" s="234">
        <f t="shared" si="59"/>
        <v>-85467.31</v>
      </c>
      <c r="T126" s="235">
        <f t="shared" si="60"/>
        <v>35803.950000000004</v>
      </c>
      <c r="U126" s="92">
        <f t="shared" si="61"/>
        <v>6247.31</v>
      </c>
      <c r="V126" s="92">
        <f t="shared" si="62"/>
        <v>0</v>
      </c>
      <c r="W126" s="233">
        <f t="shared" si="63"/>
        <v>42051.26</v>
      </c>
      <c r="X126" s="611">
        <f>U64+T95+T126</f>
        <v>88377.67000000001</v>
      </c>
      <c r="Y126" s="610">
        <f>V64+U95+U126</f>
        <v>11812.279999999999</v>
      </c>
      <c r="Z126" s="612">
        <f t="shared" si="55"/>
        <v>0</v>
      </c>
      <c r="AA126" s="476">
        <f t="shared" si="65"/>
        <v>100189.95000000001</v>
      </c>
      <c r="AB126" s="620">
        <f t="shared" si="66"/>
        <v>11812.279999999999</v>
      </c>
      <c r="AC126" s="618">
        <f t="shared" si="67"/>
        <v>72176.90000000001</v>
      </c>
      <c r="AD126" s="270">
        <f t="shared" si="68"/>
        <v>218801.19</v>
      </c>
      <c r="AE126" s="614">
        <f>D126+R126</f>
        <v>212553.88</v>
      </c>
    </row>
    <row r="127" spans="1:31" ht="26.25" customHeight="1">
      <c r="A127" s="399" t="s">
        <v>127</v>
      </c>
      <c r="B127" s="393">
        <f>SUM(B100:B124)</f>
        <v>1777659.4600000014</v>
      </c>
      <c r="C127" s="394">
        <f>SUM(C100:C126)</f>
        <v>1071380.6500000001</v>
      </c>
      <c r="D127" s="394">
        <f>SUM(D100:D126)</f>
        <v>1240247.48</v>
      </c>
      <c r="E127" s="394"/>
      <c r="F127" s="1242">
        <f aca="true" t="shared" si="70" ref="F127:P127">SUM(F100:F126)</f>
        <v>2558768.320000001</v>
      </c>
      <c r="G127" s="396">
        <f t="shared" si="70"/>
        <v>143662.05999999997</v>
      </c>
      <c r="H127" s="1297">
        <f t="shared" si="70"/>
        <v>10659.769999999999</v>
      </c>
      <c r="I127" s="665">
        <f t="shared" si="70"/>
        <v>0</v>
      </c>
      <c r="J127" s="443">
        <f t="shared" si="70"/>
        <v>154321.83</v>
      </c>
      <c r="K127" s="443">
        <f t="shared" si="70"/>
        <v>-40876.45999999999</v>
      </c>
      <c r="L127" s="966">
        <f t="shared" si="70"/>
        <v>39502.579999999994</v>
      </c>
      <c r="M127" s="1250">
        <f t="shared" si="70"/>
        <v>56913.8</v>
      </c>
      <c r="N127" s="414">
        <f t="shared" si="70"/>
        <v>-58287.679999999986</v>
      </c>
      <c r="O127" s="608">
        <f t="shared" si="70"/>
        <v>-171355.23</v>
      </c>
      <c r="P127" s="606">
        <f t="shared" si="70"/>
        <v>4957.219999999999</v>
      </c>
      <c r="Q127" s="397"/>
      <c r="R127" s="607">
        <f aca="true" t="shared" si="71" ref="R127:AA127">SUM(R100:R126)</f>
        <v>45434.87</v>
      </c>
      <c r="S127" s="599">
        <f t="shared" si="71"/>
        <v>-211832.88</v>
      </c>
      <c r="T127" s="414">
        <f t="shared" si="71"/>
        <v>45434.87</v>
      </c>
      <c r="U127" s="414">
        <f t="shared" si="71"/>
        <v>56913.8</v>
      </c>
      <c r="V127" s="414">
        <f t="shared" si="71"/>
        <v>0</v>
      </c>
      <c r="W127" s="414">
        <f t="shared" si="71"/>
        <v>102348.66999999998</v>
      </c>
      <c r="X127" s="1000">
        <f>SUM(X100:X126)</f>
        <v>108766.41000000002</v>
      </c>
      <c r="Y127" s="1000">
        <f>SUM(Y100:Y126)</f>
        <v>98171.44</v>
      </c>
      <c r="Z127" s="1000">
        <f t="shared" si="71"/>
        <v>0</v>
      </c>
      <c r="AA127" s="1004">
        <f t="shared" si="71"/>
        <v>206937.84999999998</v>
      </c>
      <c r="AB127" s="1001">
        <f>Y127+Z127</f>
        <v>98171.44</v>
      </c>
      <c r="AC127" s="1012">
        <f>SUM(AC100:AC126)</f>
        <v>1126500.22</v>
      </c>
      <c r="AD127" s="1013">
        <f>SUM(AD100:AD126)</f>
        <v>1342596.15</v>
      </c>
      <c r="AE127" s="1002">
        <f>SUM(AE100:AE126)</f>
        <v>1285682.35</v>
      </c>
    </row>
    <row r="128" spans="1:31" s="667" customFormat="1" ht="26.25" customHeight="1">
      <c r="A128" s="891"/>
      <c r="B128" s="892"/>
      <c r="C128" s="893"/>
      <c r="D128" s="894"/>
      <c r="E128" s="894"/>
      <c r="F128" s="983"/>
      <c r="G128" s="895"/>
      <c r="H128" s="859"/>
      <c r="I128" s="896"/>
      <c r="J128" s="897"/>
      <c r="K128" s="898"/>
      <c r="L128" s="861"/>
      <c r="M128" s="861"/>
      <c r="N128" s="899"/>
      <c r="O128" s="900"/>
      <c r="P128" s="901"/>
      <c r="Q128" s="899"/>
      <c r="R128" s="902"/>
      <c r="S128" s="861"/>
      <c r="T128" s="878"/>
      <c r="U128" s="878"/>
      <c r="V128" s="878"/>
      <c r="W128" s="878"/>
      <c r="X128" s="903"/>
      <c r="Y128" s="903"/>
      <c r="Z128" s="903"/>
      <c r="AA128" s="677"/>
      <c r="AB128" s="725"/>
      <c r="AC128" s="866"/>
      <c r="AD128" s="866"/>
      <c r="AE128" s="726"/>
    </row>
    <row r="129" spans="1:25" ht="49.5" customHeight="1">
      <c r="A129" s="490" t="s">
        <v>122</v>
      </c>
      <c r="B129" s="1621" t="s">
        <v>22</v>
      </c>
      <c r="C129" s="1618" t="s">
        <v>2</v>
      </c>
      <c r="D129" s="1619"/>
      <c r="E129" s="1619"/>
      <c r="F129" s="1620"/>
      <c r="G129" s="1641" t="s">
        <v>3</v>
      </c>
      <c r="H129" s="1619"/>
      <c r="I129" s="1620"/>
      <c r="J129" s="454"/>
      <c r="K129" s="1642" t="s">
        <v>4</v>
      </c>
      <c r="L129" s="1643"/>
      <c r="M129" s="1643"/>
      <c r="N129" s="1203"/>
      <c r="O129" s="282"/>
      <c r="P129" s="1603" t="s">
        <v>74</v>
      </c>
      <c r="Q129" s="1603"/>
      <c r="R129" s="1603"/>
      <c r="S129" s="1728"/>
      <c r="T129" s="1265" t="s">
        <v>67</v>
      </c>
      <c r="U129" s="605" t="s">
        <v>69</v>
      </c>
      <c r="V129" s="1267" t="s">
        <v>96</v>
      </c>
      <c r="W129" s="1266" t="s">
        <v>88</v>
      </c>
      <c r="X129" s="435"/>
      <c r="Y129" s="435"/>
    </row>
    <row r="130" spans="1:26" ht="38.25" thickBot="1">
      <c r="A130" s="458" t="s">
        <v>126</v>
      </c>
      <c r="B130" s="1622"/>
      <c r="C130" s="459" t="s">
        <v>5</v>
      </c>
      <c r="D130" s="459" t="s">
        <v>6</v>
      </c>
      <c r="E130" s="459"/>
      <c r="F130" s="459" t="s">
        <v>7</v>
      </c>
      <c r="G130" s="460" t="s">
        <v>22</v>
      </c>
      <c r="H130" s="461" t="s">
        <v>5</v>
      </c>
      <c r="I130" s="685" t="s">
        <v>6</v>
      </c>
      <c r="J130" s="462" t="s">
        <v>7</v>
      </c>
      <c r="K130" s="463" t="s">
        <v>22</v>
      </c>
      <c r="L130" s="464" t="s">
        <v>5</v>
      </c>
      <c r="M130" s="464" t="s">
        <v>6</v>
      </c>
      <c r="N130" s="464" t="s">
        <v>7</v>
      </c>
      <c r="O130" s="465" t="s">
        <v>22</v>
      </c>
      <c r="P130" s="465" t="s">
        <v>33</v>
      </c>
      <c r="Q130" s="466" t="s">
        <v>64</v>
      </c>
      <c r="R130" s="466" t="s">
        <v>6</v>
      </c>
      <c r="S130" s="467" t="s">
        <v>7</v>
      </c>
      <c r="T130" s="468" t="s">
        <v>68</v>
      </c>
      <c r="U130" s="469" t="s">
        <v>70</v>
      </c>
      <c r="V130" s="470" t="s">
        <v>70</v>
      </c>
      <c r="W130" s="471" t="s">
        <v>76</v>
      </c>
      <c r="X130" s="426" t="s">
        <v>106</v>
      </c>
      <c r="Y130" s="426" t="s">
        <v>107</v>
      </c>
      <c r="Z130" s="572" t="s">
        <v>152</v>
      </c>
    </row>
    <row r="131" spans="1:26" ht="18.75">
      <c r="A131" s="431" t="s">
        <v>47</v>
      </c>
      <c r="B131" s="428">
        <f aca="true" t="shared" si="72" ref="B131:B157">F100</f>
        <v>111098.38999999996</v>
      </c>
      <c r="C131" s="630">
        <v>15058.84</v>
      </c>
      <c r="D131" s="630">
        <v>14586.54</v>
      </c>
      <c r="E131" s="446"/>
      <c r="F131" s="428">
        <f>B131+C131-D131</f>
        <v>111570.68999999994</v>
      </c>
      <c r="G131" s="285">
        <f aca="true" t="shared" si="73" ref="G131:G157">J100</f>
        <v>26856.099999999984</v>
      </c>
      <c r="H131" s="601">
        <v>1505.17</v>
      </c>
      <c r="I131" s="1030">
        <v>0</v>
      </c>
      <c r="J131" s="285">
        <f>G131+H131-I131</f>
        <v>28361.269999999982</v>
      </c>
      <c r="K131" s="302">
        <f aca="true" t="shared" si="74" ref="K131:K157">N100</f>
        <v>-5365.19</v>
      </c>
      <c r="L131" s="639">
        <v>4819.88</v>
      </c>
      <c r="M131" s="1031">
        <v>0</v>
      </c>
      <c r="N131" s="302">
        <f>K131+L131-M131</f>
        <v>-545.3099999999995</v>
      </c>
      <c r="O131" s="636">
        <f aca="true" t="shared" si="75" ref="O131:O157">S100</f>
        <v>-1441.51</v>
      </c>
      <c r="P131" s="1034">
        <v>85.44</v>
      </c>
      <c r="Q131" s="300"/>
      <c r="R131" s="1034">
        <v>136.27</v>
      </c>
      <c r="S131" s="473">
        <f>O131+P131-R131</f>
        <v>-1492.34</v>
      </c>
      <c r="T131" s="474">
        <f>R131</f>
        <v>136.27</v>
      </c>
      <c r="U131" s="475">
        <f>M131</f>
        <v>0</v>
      </c>
      <c r="V131" s="476">
        <f>I131</f>
        <v>0</v>
      </c>
      <c r="W131" s="477">
        <f>T131+U131+V131</f>
        <v>136.27</v>
      </c>
      <c r="X131" s="444">
        <f>C131+H131+L131+P131</f>
        <v>21469.33</v>
      </c>
      <c r="Y131" s="444">
        <f>D131+I131+M131+R131</f>
        <v>14722.810000000001</v>
      </c>
      <c r="Z131" s="515">
        <f>D131+R131</f>
        <v>14722.810000000001</v>
      </c>
    </row>
    <row r="132" spans="1:26" ht="18.75">
      <c r="A132" s="431" t="s">
        <v>53</v>
      </c>
      <c r="B132" s="428">
        <f t="shared" si="72"/>
        <v>126490.1700000002</v>
      </c>
      <c r="C132" s="630">
        <v>33877.29</v>
      </c>
      <c r="D132" s="630">
        <v>36349.52</v>
      </c>
      <c r="E132" s="446"/>
      <c r="F132" s="428">
        <f aca="true" t="shared" si="76" ref="F132:F157">B132+C132-D132</f>
        <v>124017.9400000002</v>
      </c>
      <c r="G132" s="285">
        <f t="shared" si="73"/>
        <v>944.6399999999996</v>
      </c>
      <c r="H132" s="601">
        <v>294.05</v>
      </c>
      <c r="I132" s="1030">
        <v>0</v>
      </c>
      <c r="J132" s="285">
        <f aca="true" t="shared" si="77" ref="J132:J157">G132+H132-I132</f>
        <v>1238.6899999999996</v>
      </c>
      <c r="K132" s="302">
        <f t="shared" si="74"/>
        <v>-3348.5</v>
      </c>
      <c r="L132" s="639">
        <v>137.45</v>
      </c>
      <c r="M132" s="1031">
        <v>412.35</v>
      </c>
      <c r="N132" s="302">
        <f aca="true" t="shared" si="78" ref="N132:N157">K132+L132-M132</f>
        <v>-3623.4</v>
      </c>
      <c r="O132" s="636">
        <f t="shared" si="75"/>
        <v>154.85999999999999</v>
      </c>
      <c r="P132" s="1034">
        <v>48.98</v>
      </c>
      <c r="Q132" s="300"/>
      <c r="R132" s="1034">
        <v>65.08</v>
      </c>
      <c r="S132" s="473">
        <f aca="true" t="shared" si="79" ref="S132:S157">O132+P132-R132</f>
        <v>138.76</v>
      </c>
      <c r="T132" s="474">
        <f aca="true" t="shared" si="80" ref="T132:T157">R132</f>
        <v>65.08</v>
      </c>
      <c r="U132" s="475">
        <f aca="true" t="shared" si="81" ref="U132:U151">M132</f>
        <v>412.35</v>
      </c>
      <c r="V132" s="476">
        <f aca="true" t="shared" si="82" ref="V132:V157">I132</f>
        <v>0</v>
      </c>
      <c r="W132" s="477">
        <f aca="true" t="shared" si="83" ref="W132:W157">T132+U132+V132</f>
        <v>477.43</v>
      </c>
      <c r="X132" s="444">
        <f aca="true" t="shared" si="84" ref="X132:X157">C132+H132+L132+P132</f>
        <v>34357.770000000004</v>
      </c>
      <c r="Y132" s="444">
        <f aca="true" t="shared" si="85" ref="Y132:Y157">D132+I132+M132+R132</f>
        <v>36826.95</v>
      </c>
      <c r="Z132" s="515">
        <f aca="true" t="shared" si="86" ref="Z132:Z157">D132+R132</f>
        <v>36414.6</v>
      </c>
    </row>
    <row r="133" spans="1:26" ht="18.75">
      <c r="A133" s="431" t="s">
        <v>8</v>
      </c>
      <c r="B133" s="428">
        <f t="shared" si="72"/>
        <v>74445.62</v>
      </c>
      <c r="C133" s="631"/>
      <c r="D133" s="631"/>
      <c r="E133" s="447"/>
      <c r="F133" s="428">
        <f t="shared" si="76"/>
        <v>74445.62</v>
      </c>
      <c r="G133" s="285">
        <f t="shared" si="73"/>
        <v>0</v>
      </c>
      <c r="H133" s="602"/>
      <c r="I133" s="1030">
        <v>0</v>
      </c>
      <c r="J133" s="285">
        <f t="shared" si="77"/>
        <v>0</v>
      </c>
      <c r="K133" s="302">
        <f t="shared" si="74"/>
        <v>0</v>
      </c>
      <c r="L133" s="526"/>
      <c r="M133" s="1031"/>
      <c r="N133" s="302">
        <f t="shared" si="78"/>
        <v>0</v>
      </c>
      <c r="O133" s="636">
        <f t="shared" si="75"/>
        <v>0</v>
      </c>
      <c r="P133" s="699">
        <v>0</v>
      </c>
      <c r="Q133" s="301"/>
      <c r="R133" s="634">
        <v>0</v>
      </c>
      <c r="S133" s="473">
        <f t="shared" si="79"/>
        <v>0</v>
      </c>
      <c r="T133" s="474">
        <f t="shared" si="80"/>
        <v>0</v>
      </c>
      <c r="U133" s="475">
        <f t="shared" si="81"/>
        <v>0</v>
      </c>
      <c r="V133" s="476">
        <f t="shared" si="82"/>
        <v>0</v>
      </c>
      <c r="W133" s="477">
        <f t="shared" si="83"/>
        <v>0</v>
      </c>
      <c r="X133" s="444">
        <f t="shared" si="84"/>
        <v>0</v>
      </c>
      <c r="Y133" s="444">
        <f t="shared" si="85"/>
        <v>0</v>
      </c>
      <c r="Z133" s="515">
        <f t="shared" si="86"/>
        <v>0</v>
      </c>
    </row>
    <row r="134" spans="1:26" ht="18.75">
      <c r="A134" s="431" t="s">
        <v>48</v>
      </c>
      <c r="B134" s="428">
        <f t="shared" si="72"/>
        <v>378697.3800000002</v>
      </c>
      <c r="C134" s="628">
        <v>81567.19</v>
      </c>
      <c r="D134" s="628">
        <v>75223.79</v>
      </c>
      <c r="E134" s="428"/>
      <c r="F134" s="428">
        <f t="shared" si="76"/>
        <v>385040.7800000002</v>
      </c>
      <c r="G134" s="285">
        <f t="shared" si="73"/>
        <v>27561.699999999993</v>
      </c>
      <c r="H134" s="602">
        <v>1401.11</v>
      </c>
      <c r="I134" s="1030">
        <v>0</v>
      </c>
      <c r="J134" s="285">
        <f t="shared" si="77"/>
        <v>28962.809999999994</v>
      </c>
      <c r="K134" s="302">
        <f t="shared" si="74"/>
        <v>-1233.249999999999</v>
      </c>
      <c r="L134" s="639">
        <v>2139.04</v>
      </c>
      <c r="M134" s="1031">
        <v>905.37</v>
      </c>
      <c r="N134" s="302">
        <f t="shared" si="78"/>
        <v>0.42000000000086857</v>
      </c>
      <c r="O134" s="636">
        <f t="shared" si="75"/>
        <v>-2357.8399999999997</v>
      </c>
      <c r="P134" s="699">
        <v>182.03</v>
      </c>
      <c r="Q134" s="312"/>
      <c r="R134" s="634"/>
      <c r="S134" s="473">
        <f t="shared" si="79"/>
        <v>-2175.8099999999995</v>
      </c>
      <c r="T134" s="474">
        <f t="shared" si="80"/>
        <v>0</v>
      </c>
      <c r="U134" s="475">
        <f t="shared" si="81"/>
        <v>905.37</v>
      </c>
      <c r="V134" s="476">
        <f t="shared" si="82"/>
        <v>0</v>
      </c>
      <c r="W134" s="477">
        <f t="shared" si="83"/>
        <v>905.37</v>
      </c>
      <c r="X134" s="444">
        <f t="shared" si="84"/>
        <v>85289.37</v>
      </c>
      <c r="Y134" s="444">
        <f t="shared" si="85"/>
        <v>76129.15999999999</v>
      </c>
      <c r="Z134" s="515">
        <f t="shared" si="86"/>
        <v>75223.79</v>
      </c>
    </row>
    <row r="135" spans="1:26" ht="18.75">
      <c r="A135" s="431" t="s">
        <v>9</v>
      </c>
      <c r="B135" s="428">
        <f t="shared" si="72"/>
        <v>128096.89000000007</v>
      </c>
      <c r="C135" s="692">
        <v>20363.74</v>
      </c>
      <c r="D135" s="628">
        <v>20977.52</v>
      </c>
      <c r="E135" s="428"/>
      <c r="F135" s="428">
        <f t="shared" si="76"/>
        <v>127483.11000000006</v>
      </c>
      <c r="G135" s="285">
        <f t="shared" si="73"/>
        <v>32379.089999999997</v>
      </c>
      <c r="H135" s="602">
        <v>1621.17</v>
      </c>
      <c r="I135" s="1030">
        <v>0</v>
      </c>
      <c r="J135" s="285">
        <f t="shared" si="77"/>
        <v>34000.259999999995</v>
      </c>
      <c r="K135" s="302">
        <f t="shared" si="74"/>
        <v>0</v>
      </c>
      <c r="L135" s="526"/>
      <c r="M135" s="1031"/>
      <c r="N135" s="302">
        <f t="shared" si="78"/>
        <v>0</v>
      </c>
      <c r="O135" s="636">
        <f t="shared" si="75"/>
        <v>1110.7399999999998</v>
      </c>
      <c r="P135" s="634">
        <v>95.57</v>
      </c>
      <c r="Q135" s="312"/>
      <c r="R135" s="634">
        <v>113.23</v>
      </c>
      <c r="S135" s="473">
        <f t="shared" si="79"/>
        <v>1093.0799999999997</v>
      </c>
      <c r="T135" s="474">
        <f t="shared" si="80"/>
        <v>113.23</v>
      </c>
      <c r="U135" s="475">
        <f t="shared" si="81"/>
        <v>0</v>
      </c>
      <c r="V135" s="476">
        <f t="shared" si="82"/>
        <v>0</v>
      </c>
      <c r="W135" s="477">
        <f t="shared" si="83"/>
        <v>113.23</v>
      </c>
      <c r="X135" s="444">
        <f t="shared" si="84"/>
        <v>22080.480000000003</v>
      </c>
      <c r="Y135" s="444">
        <f t="shared" si="85"/>
        <v>21090.75</v>
      </c>
      <c r="Z135" s="515">
        <f t="shared" si="86"/>
        <v>21090.75</v>
      </c>
    </row>
    <row r="136" spans="1:26" ht="18.75">
      <c r="A136" s="431" t="s">
        <v>10</v>
      </c>
      <c r="B136" s="428">
        <f t="shared" si="72"/>
        <v>10769.590000000093</v>
      </c>
      <c r="C136" s="692">
        <v>8796.01</v>
      </c>
      <c r="D136" s="628">
        <v>8913.08</v>
      </c>
      <c r="E136" s="428"/>
      <c r="F136" s="428">
        <f t="shared" si="76"/>
        <v>10652.520000000093</v>
      </c>
      <c r="G136" s="285">
        <f t="shared" si="73"/>
        <v>0</v>
      </c>
      <c r="H136" s="602"/>
      <c r="I136" s="1030">
        <v>0</v>
      </c>
      <c r="J136" s="285">
        <f t="shared" si="77"/>
        <v>0</v>
      </c>
      <c r="K136" s="302">
        <f t="shared" si="74"/>
        <v>0</v>
      </c>
      <c r="L136" s="526"/>
      <c r="M136" s="1031"/>
      <c r="N136" s="302">
        <f t="shared" si="78"/>
        <v>0</v>
      </c>
      <c r="O136" s="636">
        <f t="shared" si="75"/>
        <v>3.409999999999994</v>
      </c>
      <c r="P136" s="634">
        <v>18.42</v>
      </c>
      <c r="Q136" s="301"/>
      <c r="R136" s="634">
        <v>0</v>
      </c>
      <c r="S136" s="473">
        <f t="shared" si="79"/>
        <v>21.829999999999995</v>
      </c>
      <c r="T136" s="474">
        <f t="shared" si="80"/>
        <v>0</v>
      </c>
      <c r="U136" s="475">
        <f t="shared" si="81"/>
        <v>0</v>
      </c>
      <c r="V136" s="476">
        <f t="shared" si="82"/>
        <v>0</v>
      </c>
      <c r="W136" s="477">
        <f t="shared" si="83"/>
        <v>0</v>
      </c>
      <c r="X136" s="444">
        <f t="shared" si="84"/>
        <v>8814.43</v>
      </c>
      <c r="Y136" s="444">
        <f t="shared" si="85"/>
        <v>8913.08</v>
      </c>
      <c r="Z136" s="515">
        <f t="shared" si="86"/>
        <v>8913.08</v>
      </c>
    </row>
    <row r="137" spans="1:26" ht="18.75">
      <c r="A137" s="431" t="s">
        <v>11</v>
      </c>
      <c r="B137" s="428">
        <f t="shared" si="72"/>
        <v>8555.940000000037</v>
      </c>
      <c r="C137" s="692">
        <v>8764.88</v>
      </c>
      <c r="D137" s="628">
        <v>8939.14</v>
      </c>
      <c r="E137" s="428"/>
      <c r="F137" s="428">
        <f t="shared" si="76"/>
        <v>8381.680000000037</v>
      </c>
      <c r="G137" s="285">
        <f t="shared" si="73"/>
        <v>0</v>
      </c>
      <c r="H137" s="602"/>
      <c r="I137" s="1030">
        <v>0</v>
      </c>
      <c r="J137" s="285">
        <f t="shared" si="77"/>
        <v>0</v>
      </c>
      <c r="K137" s="302">
        <f t="shared" si="74"/>
        <v>0</v>
      </c>
      <c r="L137" s="526"/>
      <c r="M137" s="1031"/>
      <c r="N137" s="302">
        <f t="shared" si="78"/>
        <v>0</v>
      </c>
      <c r="O137" s="636">
        <f t="shared" si="75"/>
        <v>89.53</v>
      </c>
      <c r="P137" s="634">
        <v>0.92</v>
      </c>
      <c r="Q137" s="301"/>
      <c r="R137" s="634"/>
      <c r="S137" s="473">
        <f t="shared" si="79"/>
        <v>90.45</v>
      </c>
      <c r="T137" s="474">
        <f t="shared" si="80"/>
        <v>0</v>
      </c>
      <c r="U137" s="475">
        <f t="shared" si="81"/>
        <v>0</v>
      </c>
      <c r="V137" s="476">
        <f t="shared" si="82"/>
        <v>0</v>
      </c>
      <c r="W137" s="477">
        <f t="shared" si="83"/>
        <v>0</v>
      </c>
      <c r="X137" s="444">
        <f t="shared" si="84"/>
        <v>8765.8</v>
      </c>
      <c r="Y137" s="444">
        <f t="shared" si="85"/>
        <v>8939.14</v>
      </c>
      <c r="Z137" s="515">
        <f t="shared" si="86"/>
        <v>8939.14</v>
      </c>
    </row>
    <row r="138" spans="1:26" ht="18.75">
      <c r="A138" s="431" t="s">
        <v>12</v>
      </c>
      <c r="B138" s="428">
        <f t="shared" si="72"/>
        <v>89606.7700000002</v>
      </c>
      <c r="C138" s="692">
        <v>50177.68</v>
      </c>
      <c r="D138" s="628">
        <v>50733.53</v>
      </c>
      <c r="E138" s="428"/>
      <c r="F138" s="428">
        <f t="shared" si="76"/>
        <v>89050.92000000019</v>
      </c>
      <c r="G138" s="285">
        <f t="shared" si="73"/>
        <v>8409.219999999996</v>
      </c>
      <c r="H138" s="602">
        <v>583.65</v>
      </c>
      <c r="I138" s="1030">
        <v>0</v>
      </c>
      <c r="J138" s="285">
        <f t="shared" si="77"/>
        <v>8992.869999999995</v>
      </c>
      <c r="K138" s="302">
        <f t="shared" si="74"/>
        <v>1508.3999999999985</v>
      </c>
      <c r="L138" s="639">
        <v>1722.24</v>
      </c>
      <c r="M138" s="1031">
        <v>1722.24</v>
      </c>
      <c r="N138" s="302">
        <f t="shared" si="78"/>
        <v>1508.3999999999985</v>
      </c>
      <c r="O138" s="636">
        <f t="shared" si="75"/>
        <v>402.57000000000005</v>
      </c>
      <c r="P138" s="634">
        <v>134.45</v>
      </c>
      <c r="Q138" s="301"/>
      <c r="R138" s="634">
        <v>187.29</v>
      </c>
      <c r="S138" s="473">
        <f t="shared" si="79"/>
        <v>349.73</v>
      </c>
      <c r="T138" s="474">
        <f t="shared" si="80"/>
        <v>187.29</v>
      </c>
      <c r="U138" s="475">
        <f t="shared" si="81"/>
        <v>1722.24</v>
      </c>
      <c r="V138" s="476">
        <f t="shared" si="82"/>
        <v>0</v>
      </c>
      <c r="W138" s="477">
        <f t="shared" si="83"/>
        <v>1909.53</v>
      </c>
      <c r="X138" s="444">
        <f t="shared" si="84"/>
        <v>52618.02</v>
      </c>
      <c r="Y138" s="444">
        <f t="shared" si="85"/>
        <v>52643.06</v>
      </c>
      <c r="Z138" s="515">
        <f t="shared" si="86"/>
        <v>50920.82</v>
      </c>
    </row>
    <row r="139" spans="1:26" ht="18.75">
      <c r="A139" s="431" t="s">
        <v>13</v>
      </c>
      <c r="B139" s="428">
        <f t="shared" si="72"/>
        <v>57447.06000000004</v>
      </c>
      <c r="C139" s="692">
        <v>29644.07</v>
      </c>
      <c r="D139" s="628">
        <v>31349.03</v>
      </c>
      <c r="E139" s="428"/>
      <c r="F139" s="428">
        <f t="shared" si="76"/>
        <v>55742.100000000035</v>
      </c>
      <c r="G139" s="285">
        <f t="shared" si="73"/>
        <v>3009.029999999999</v>
      </c>
      <c r="H139" s="602">
        <v>196.74</v>
      </c>
      <c r="I139" s="1030">
        <v>0</v>
      </c>
      <c r="J139" s="285">
        <f t="shared" si="77"/>
        <v>3205.7699999999986</v>
      </c>
      <c r="K139" s="302">
        <f t="shared" si="74"/>
        <v>-1562.25</v>
      </c>
      <c r="L139" s="639">
        <v>727.77</v>
      </c>
      <c r="M139" s="1031">
        <v>727.77</v>
      </c>
      <c r="N139" s="302">
        <f t="shared" si="78"/>
        <v>-1562.25</v>
      </c>
      <c r="O139" s="636">
        <f t="shared" si="75"/>
        <v>54.83000000000003</v>
      </c>
      <c r="P139" s="634">
        <v>116.19</v>
      </c>
      <c r="Q139" s="301"/>
      <c r="R139" s="634">
        <v>112.32</v>
      </c>
      <c r="S139" s="473">
        <f t="shared" si="79"/>
        <v>58.700000000000045</v>
      </c>
      <c r="T139" s="474">
        <f t="shared" si="80"/>
        <v>112.32</v>
      </c>
      <c r="U139" s="475">
        <f t="shared" si="81"/>
        <v>727.77</v>
      </c>
      <c r="V139" s="476">
        <f t="shared" si="82"/>
        <v>0</v>
      </c>
      <c r="W139" s="477">
        <f t="shared" si="83"/>
        <v>840.0899999999999</v>
      </c>
      <c r="X139" s="444">
        <f t="shared" si="84"/>
        <v>30684.77</v>
      </c>
      <c r="Y139" s="444">
        <f t="shared" si="85"/>
        <v>32189.12</v>
      </c>
      <c r="Z139" s="515">
        <f t="shared" si="86"/>
        <v>31461.35</v>
      </c>
    </row>
    <row r="140" spans="1:26" ht="18.75">
      <c r="A140" s="431" t="s">
        <v>14</v>
      </c>
      <c r="B140" s="428">
        <f t="shared" si="72"/>
        <v>65180.14000000008</v>
      </c>
      <c r="C140" s="692">
        <v>36574.19</v>
      </c>
      <c r="D140" s="628">
        <v>43361.76</v>
      </c>
      <c r="E140" s="428"/>
      <c r="F140" s="428">
        <f t="shared" si="76"/>
        <v>58392.57000000007</v>
      </c>
      <c r="G140" s="285">
        <f t="shared" si="73"/>
        <v>3945.3199999999997</v>
      </c>
      <c r="H140" s="602"/>
      <c r="I140" s="1030">
        <v>0</v>
      </c>
      <c r="J140" s="285">
        <f t="shared" si="77"/>
        <v>3945.3199999999997</v>
      </c>
      <c r="K140" s="302">
        <f t="shared" si="74"/>
        <v>4411.86</v>
      </c>
      <c r="L140" s="639">
        <v>2926</v>
      </c>
      <c r="M140" s="1031">
        <v>3755.42</v>
      </c>
      <c r="N140" s="302">
        <f t="shared" si="78"/>
        <v>3582.4399999999996</v>
      </c>
      <c r="O140" s="636">
        <f t="shared" si="75"/>
        <v>-249.96000000000004</v>
      </c>
      <c r="P140" s="634">
        <v>33.18</v>
      </c>
      <c r="Q140" s="301"/>
      <c r="R140" s="634">
        <v>0</v>
      </c>
      <c r="S140" s="473">
        <f t="shared" si="79"/>
        <v>-216.78000000000003</v>
      </c>
      <c r="T140" s="474">
        <f t="shared" si="80"/>
        <v>0</v>
      </c>
      <c r="U140" s="475">
        <f t="shared" si="81"/>
        <v>3755.42</v>
      </c>
      <c r="V140" s="476">
        <f t="shared" si="82"/>
        <v>0</v>
      </c>
      <c r="W140" s="477">
        <f t="shared" si="83"/>
        <v>3755.42</v>
      </c>
      <c r="X140" s="444">
        <f t="shared" si="84"/>
        <v>39533.37</v>
      </c>
      <c r="Y140" s="444">
        <f t="shared" si="85"/>
        <v>47117.18</v>
      </c>
      <c r="Z140" s="515">
        <f t="shared" si="86"/>
        <v>43361.76</v>
      </c>
    </row>
    <row r="141" spans="1:26" ht="18.75">
      <c r="A141" s="431" t="s">
        <v>55</v>
      </c>
      <c r="B141" s="428">
        <f t="shared" si="72"/>
        <v>35550.17</v>
      </c>
      <c r="C141" s="628">
        <v>16275.19</v>
      </c>
      <c r="D141" s="628">
        <v>13372.36</v>
      </c>
      <c r="E141" s="428"/>
      <c r="F141" s="428">
        <f t="shared" si="76"/>
        <v>38453</v>
      </c>
      <c r="G141" s="285">
        <f t="shared" si="73"/>
        <v>3015.6000000000004</v>
      </c>
      <c r="H141" s="602">
        <v>209.3</v>
      </c>
      <c r="I141" s="1030">
        <v>0</v>
      </c>
      <c r="J141" s="285">
        <f t="shared" si="77"/>
        <v>3224.9000000000005</v>
      </c>
      <c r="K141" s="302">
        <f t="shared" si="74"/>
        <v>1909.2800000000022</v>
      </c>
      <c r="L141" s="639">
        <v>773.21</v>
      </c>
      <c r="M141" s="1031">
        <v>0</v>
      </c>
      <c r="N141" s="302">
        <f t="shared" si="78"/>
        <v>2682.4900000000025</v>
      </c>
      <c r="O141" s="636">
        <f t="shared" si="75"/>
        <v>-763.87</v>
      </c>
      <c r="P141" s="634">
        <v>1.67</v>
      </c>
      <c r="Q141" s="301"/>
      <c r="R141" s="634">
        <v>1.67</v>
      </c>
      <c r="S141" s="473">
        <f t="shared" si="79"/>
        <v>-763.87</v>
      </c>
      <c r="T141" s="474">
        <f t="shared" si="80"/>
        <v>1.67</v>
      </c>
      <c r="U141" s="475">
        <f t="shared" si="81"/>
        <v>0</v>
      </c>
      <c r="V141" s="476">
        <f t="shared" si="82"/>
        <v>0</v>
      </c>
      <c r="W141" s="477">
        <f t="shared" si="83"/>
        <v>1.67</v>
      </c>
      <c r="X141" s="444">
        <f t="shared" si="84"/>
        <v>17259.37</v>
      </c>
      <c r="Y141" s="444">
        <f t="shared" si="85"/>
        <v>13374.03</v>
      </c>
      <c r="Z141" s="515">
        <f t="shared" si="86"/>
        <v>13374.03</v>
      </c>
    </row>
    <row r="142" spans="1:26" ht="18.75">
      <c r="A142" s="431" t="s">
        <v>15</v>
      </c>
      <c r="B142" s="428">
        <f t="shared" si="72"/>
        <v>112601.10000000033</v>
      </c>
      <c r="C142" s="628">
        <v>39158.89</v>
      </c>
      <c r="D142" s="628">
        <v>37029.41</v>
      </c>
      <c r="E142" s="428"/>
      <c r="F142" s="428">
        <f t="shared" si="76"/>
        <v>114730.58000000034</v>
      </c>
      <c r="G142" s="285">
        <f t="shared" si="73"/>
        <v>0</v>
      </c>
      <c r="H142" s="602"/>
      <c r="I142" s="1030">
        <v>0</v>
      </c>
      <c r="J142" s="285">
        <f t="shared" si="77"/>
        <v>0</v>
      </c>
      <c r="K142" s="302">
        <f t="shared" si="74"/>
        <v>2929.49</v>
      </c>
      <c r="L142" s="639">
        <v>2209.01</v>
      </c>
      <c r="M142" s="1031">
        <v>0</v>
      </c>
      <c r="N142" s="302">
        <f t="shared" si="78"/>
        <v>5138.5</v>
      </c>
      <c r="O142" s="636">
        <f t="shared" si="75"/>
        <v>433.20999999999975</v>
      </c>
      <c r="P142" s="634">
        <v>74.87</v>
      </c>
      <c r="Q142" s="301"/>
      <c r="R142" s="634">
        <v>74.24</v>
      </c>
      <c r="S142" s="473">
        <f t="shared" si="79"/>
        <v>433.83999999999975</v>
      </c>
      <c r="T142" s="474">
        <f t="shared" si="80"/>
        <v>74.24</v>
      </c>
      <c r="U142" s="475">
        <f t="shared" si="81"/>
        <v>0</v>
      </c>
      <c r="V142" s="476">
        <f t="shared" si="82"/>
        <v>0</v>
      </c>
      <c r="W142" s="477">
        <f t="shared" si="83"/>
        <v>74.24</v>
      </c>
      <c r="X142" s="444">
        <f t="shared" si="84"/>
        <v>41442.770000000004</v>
      </c>
      <c r="Y142" s="444">
        <f t="shared" si="85"/>
        <v>37103.65</v>
      </c>
      <c r="Z142" s="515">
        <f t="shared" si="86"/>
        <v>37103.65</v>
      </c>
    </row>
    <row r="143" spans="1:26" ht="18.75">
      <c r="A143" s="431" t="s">
        <v>16</v>
      </c>
      <c r="B143" s="428">
        <f t="shared" si="72"/>
        <v>37111.93000000008</v>
      </c>
      <c r="C143" s="628">
        <v>31868.05</v>
      </c>
      <c r="D143" s="632">
        <v>35052.02</v>
      </c>
      <c r="E143" s="448"/>
      <c r="F143" s="428">
        <f t="shared" si="76"/>
        <v>33927.96000000009</v>
      </c>
      <c r="G143" s="285">
        <f t="shared" si="73"/>
        <v>0</v>
      </c>
      <c r="H143" s="602"/>
      <c r="I143" s="1030">
        <v>0</v>
      </c>
      <c r="J143" s="285">
        <f t="shared" si="77"/>
        <v>0</v>
      </c>
      <c r="K143" s="302">
        <f t="shared" si="74"/>
        <v>1163.880000000002</v>
      </c>
      <c r="L143" s="639">
        <v>328.3</v>
      </c>
      <c r="M143" s="1031">
        <v>0</v>
      </c>
      <c r="N143" s="302">
        <f t="shared" si="78"/>
        <v>1492.1800000000019</v>
      </c>
      <c r="O143" s="636">
        <f t="shared" si="75"/>
        <v>81.16</v>
      </c>
      <c r="P143" s="634">
        <v>56.13</v>
      </c>
      <c r="Q143" s="301"/>
      <c r="R143" s="634">
        <v>3.73</v>
      </c>
      <c r="S143" s="473">
        <f t="shared" si="79"/>
        <v>133.56</v>
      </c>
      <c r="T143" s="474">
        <f t="shared" si="80"/>
        <v>3.73</v>
      </c>
      <c r="U143" s="475">
        <f t="shared" si="81"/>
        <v>0</v>
      </c>
      <c r="V143" s="476">
        <f t="shared" si="82"/>
        <v>0</v>
      </c>
      <c r="W143" s="477">
        <f t="shared" si="83"/>
        <v>3.73</v>
      </c>
      <c r="X143" s="444">
        <f t="shared" si="84"/>
        <v>32252.48</v>
      </c>
      <c r="Y143" s="444">
        <f t="shared" si="85"/>
        <v>35055.75</v>
      </c>
      <c r="Z143" s="515">
        <f t="shared" si="86"/>
        <v>35055.75</v>
      </c>
    </row>
    <row r="144" spans="1:26" ht="18.75">
      <c r="A144" s="431" t="s">
        <v>17</v>
      </c>
      <c r="B144" s="428">
        <f t="shared" si="72"/>
        <v>63742.5700000003</v>
      </c>
      <c r="C144" s="628">
        <v>41492.76</v>
      </c>
      <c r="D144" s="628">
        <v>41256.01</v>
      </c>
      <c r="E144" s="428"/>
      <c r="F144" s="428">
        <f t="shared" si="76"/>
        <v>63979.320000000305</v>
      </c>
      <c r="G144" s="285">
        <f t="shared" si="73"/>
        <v>5988.120000000001</v>
      </c>
      <c r="H144" s="602">
        <v>415.61</v>
      </c>
      <c r="I144" s="1030">
        <v>0</v>
      </c>
      <c r="J144" s="285">
        <f t="shared" si="77"/>
        <v>6403.7300000000005</v>
      </c>
      <c r="K144" s="302">
        <f t="shared" si="74"/>
        <v>1318.6299999999997</v>
      </c>
      <c r="L144" s="639">
        <v>699.06</v>
      </c>
      <c r="M144" s="1031">
        <v>699.06</v>
      </c>
      <c r="N144" s="302">
        <f t="shared" si="78"/>
        <v>1318.6299999999997</v>
      </c>
      <c r="O144" s="636">
        <f t="shared" si="75"/>
        <v>79.52000000000002</v>
      </c>
      <c r="P144" s="634">
        <v>18.23</v>
      </c>
      <c r="Q144" s="301"/>
      <c r="R144" s="634">
        <v>18.47</v>
      </c>
      <c r="S144" s="473">
        <f t="shared" si="79"/>
        <v>79.28000000000003</v>
      </c>
      <c r="T144" s="474">
        <f t="shared" si="80"/>
        <v>18.47</v>
      </c>
      <c r="U144" s="475">
        <f t="shared" si="81"/>
        <v>699.06</v>
      </c>
      <c r="V144" s="476">
        <f t="shared" si="82"/>
        <v>0</v>
      </c>
      <c r="W144" s="477">
        <f t="shared" si="83"/>
        <v>717.53</v>
      </c>
      <c r="X144" s="444">
        <f t="shared" si="84"/>
        <v>42625.66</v>
      </c>
      <c r="Y144" s="444">
        <f t="shared" si="85"/>
        <v>41973.54</v>
      </c>
      <c r="Z144" s="515">
        <f t="shared" si="86"/>
        <v>41274.48</v>
      </c>
    </row>
    <row r="145" spans="1:26" ht="18.75">
      <c r="A145" s="431" t="s">
        <v>18</v>
      </c>
      <c r="B145" s="428">
        <f t="shared" si="72"/>
        <v>171100.62000000005</v>
      </c>
      <c r="C145" s="628">
        <v>88445.42</v>
      </c>
      <c r="D145" s="628">
        <v>101111.25</v>
      </c>
      <c r="E145" s="428"/>
      <c r="F145" s="428">
        <f t="shared" si="76"/>
        <v>158434.79000000004</v>
      </c>
      <c r="G145" s="285">
        <f t="shared" si="73"/>
        <v>840.0499999999986</v>
      </c>
      <c r="H145" s="602"/>
      <c r="I145" s="1030">
        <v>0</v>
      </c>
      <c r="J145" s="285">
        <f t="shared" si="77"/>
        <v>840.0499999999986</v>
      </c>
      <c r="K145" s="302">
        <f t="shared" si="74"/>
        <v>1789.3199999999988</v>
      </c>
      <c r="L145" s="639">
        <v>3105.45</v>
      </c>
      <c r="M145" s="1031">
        <v>2295.16</v>
      </c>
      <c r="N145" s="302">
        <f t="shared" si="78"/>
        <v>2599.6099999999988</v>
      </c>
      <c r="O145" s="636">
        <f t="shared" si="75"/>
        <v>717.1</v>
      </c>
      <c r="P145" s="634">
        <v>205.81</v>
      </c>
      <c r="Q145" s="301"/>
      <c r="R145" s="634">
        <v>224.73</v>
      </c>
      <c r="S145" s="473">
        <f t="shared" si="79"/>
        <v>698.1800000000001</v>
      </c>
      <c r="T145" s="474">
        <f t="shared" si="80"/>
        <v>224.73</v>
      </c>
      <c r="U145" s="475">
        <f t="shared" si="81"/>
        <v>2295.16</v>
      </c>
      <c r="V145" s="476">
        <f t="shared" si="82"/>
        <v>0</v>
      </c>
      <c r="W145" s="477">
        <f t="shared" si="83"/>
        <v>2519.89</v>
      </c>
      <c r="X145" s="444">
        <f t="shared" si="84"/>
        <v>91756.68</v>
      </c>
      <c r="Y145" s="444">
        <f t="shared" si="85"/>
        <v>103631.14</v>
      </c>
      <c r="Z145" s="515">
        <f t="shared" si="86"/>
        <v>101335.98</v>
      </c>
    </row>
    <row r="146" spans="1:26" ht="18.75">
      <c r="A146" s="431" t="s">
        <v>54</v>
      </c>
      <c r="B146" s="428">
        <f t="shared" si="72"/>
        <v>59593.37000000037</v>
      </c>
      <c r="C146" s="628">
        <v>37931.1</v>
      </c>
      <c r="D146" s="628">
        <v>37660.12</v>
      </c>
      <c r="E146" s="428"/>
      <c r="F146" s="428">
        <f t="shared" si="76"/>
        <v>59864.35000000036</v>
      </c>
      <c r="G146" s="285">
        <f t="shared" si="73"/>
        <v>5158.2400000000025</v>
      </c>
      <c r="H146" s="602">
        <v>295.41</v>
      </c>
      <c r="I146" s="1030">
        <v>0</v>
      </c>
      <c r="J146" s="285">
        <f t="shared" si="77"/>
        <v>5453.650000000002</v>
      </c>
      <c r="K146" s="302">
        <f t="shared" si="74"/>
        <v>0</v>
      </c>
      <c r="L146" s="526"/>
      <c r="M146" s="1031"/>
      <c r="N146" s="302">
        <f t="shared" si="78"/>
        <v>0</v>
      </c>
      <c r="O146" s="636">
        <f t="shared" si="75"/>
        <v>-1074.07</v>
      </c>
      <c r="P146" s="634">
        <v>59.17</v>
      </c>
      <c r="Q146" s="301"/>
      <c r="R146" s="634">
        <v>67.03</v>
      </c>
      <c r="S146" s="473">
        <f t="shared" si="79"/>
        <v>-1081.93</v>
      </c>
      <c r="T146" s="474">
        <f t="shared" si="80"/>
        <v>67.03</v>
      </c>
      <c r="U146" s="475">
        <f t="shared" si="81"/>
        <v>0</v>
      </c>
      <c r="V146" s="476">
        <f t="shared" si="82"/>
        <v>0</v>
      </c>
      <c r="W146" s="477">
        <f t="shared" si="83"/>
        <v>67.03</v>
      </c>
      <c r="X146" s="444">
        <f t="shared" si="84"/>
        <v>38285.68</v>
      </c>
      <c r="Y146" s="444">
        <f t="shared" si="85"/>
        <v>37727.15</v>
      </c>
      <c r="Z146" s="515">
        <f t="shared" si="86"/>
        <v>37727.15</v>
      </c>
    </row>
    <row r="147" spans="1:26" ht="18.75">
      <c r="A147" s="431" t="s">
        <v>49</v>
      </c>
      <c r="B147" s="428">
        <f t="shared" si="72"/>
        <v>205016.93000000014</v>
      </c>
      <c r="C147" s="628">
        <v>80671.41</v>
      </c>
      <c r="D147" s="628">
        <v>78624.46</v>
      </c>
      <c r="E147" s="428"/>
      <c r="F147" s="428">
        <f t="shared" si="76"/>
        <v>207063.88000000012</v>
      </c>
      <c r="G147" s="285">
        <f t="shared" si="73"/>
        <v>13285.880000000003</v>
      </c>
      <c r="H147" s="602">
        <v>922.12</v>
      </c>
      <c r="I147" s="1030">
        <v>0</v>
      </c>
      <c r="J147" s="285">
        <f t="shared" si="77"/>
        <v>14208.000000000004</v>
      </c>
      <c r="K147" s="302">
        <f t="shared" si="74"/>
        <v>6429.260000000004</v>
      </c>
      <c r="L147" s="639">
        <v>3411.59</v>
      </c>
      <c r="M147" s="1031">
        <v>4428.19</v>
      </c>
      <c r="N147" s="302">
        <f t="shared" si="78"/>
        <v>5412.660000000004</v>
      </c>
      <c r="O147" s="636">
        <f t="shared" si="75"/>
        <v>-837.2</v>
      </c>
      <c r="P147" s="634">
        <v>52.3</v>
      </c>
      <c r="Q147" s="301"/>
      <c r="R147" s="634">
        <v>52.28</v>
      </c>
      <c r="S147" s="473">
        <f t="shared" si="79"/>
        <v>-837.1800000000001</v>
      </c>
      <c r="T147" s="474">
        <f t="shared" si="80"/>
        <v>52.28</v>
      </c>
      <c r="U147" s="475">
        <f t="shared" si="81"/>
        <v>4428.19</v>
      </c>
      <c r="V147" s="476">
        <f t="shared" si="82"/>
        <v>0</v>
      </c>
      <c r="W147" s="477">
        <f t="shared" si="83"/>
        <v>4480.469999999999</v>
      </c>
      <c r="X147" s="444">
        <f t="shared" si="84"/>
        <v>85057.42</v>
      </c>
      <c r="Y147" s="444">
        <f t="shared" si="85"/>
        <v>83104.93000000001</v>
      </c>
      <c r="Z147" s="515">
        <f t="shared" si="86"/>
        <v>78676.74</v>
      </c>
    </row>
    <row r="148" spans="1:26" ht="18.75">
      <c r="A148" s="431" t="s">
        <v>19</v>
      </c>
      <c r="B148" s="428">
        <f t="shared" si="72"/>
        <v>94033.89999999997</v>
      </c>
      <c r="C148" s="628">
        <v>59520.68</v>
      </c>
      <c r="D148" s="628">
        <v>53381.8</v>
      </c>
      <c r="E148" s="428"/>
      <c r="F148" s="428">
        <f t="shared" si="76"/>
        <v>100172.77999999996</v>
      </c>
      <c r="G148" s="285">
        <f t="shared" si="73"/>
        <v>6204.129999999997</v>
      </c>
      <c r="H148" s="602">
        <v>402.45</v>
      </c>
      <c r="I148" s="1030">
        <v>0</v>
      </c>
      <c r="J148" s="285">
        <f t="shared" si="77"/>
        <v>6606.579999999997</v>
      </c>
      <c r="K148" s="302">
        <f t="shared" si="74"/>
        <v>774.170000000001</v>
      </c>
      <c r="L148" s="639">
        <v>1175.67</v>
      </c>
      <c r="M148" s="1031">
        <v>833.61</v>
      </c>
      <c r="N148" s="302">
        <f t="shared" si="78"/>
        <v>1116.230000000001</v>
      </c>
      <c r="O148" s="636">
        <f t="shared" si="75"/>
        <v>-126.32999999999964</v>
      </c>
      <c r="P148" s="634">
        <v>5.96</v>
      </c>
      <c r="Q148" s="301"/>
      <c r="R148" s="634">
        <v>5.5</v>
      </c>
      <c r="S148" s="473">
        <f t="shared" si="79"/>
        <v>-125.86999999999965</v>
      </c>
      <c r="T148" s="474">
        <f t="shared" si="80"/>
        <v>5.5</v>
      </c>
      <c r="U148" s="475">
        <f t="shared" si="81"/>
        <v>833.61</v>
      </c>
      <c r="V148" s="476">
        <f t="shared" si="82"/>
        <v>0</v>
      </c>
      <c r="W148" s="477">
        <f t="shared" si="83"/>
        <v>839.11</v>
      </c>
      <c r="X148" s="444">
        <f t="shared" si="84"/>
        <v>61104.759999999995</v>
      </c>
      <c r="Y148" s="444">
        <f t="shared" si="85"/>
        <v>54220.91</v>
      </c>
      <c r="Z148" s="515">
        <f t="shared" si="86"/>
        <v>53387.3</v>
      </c>
    </row>
    <row r="149" spans="1:26" ht="18.75">
      <c r="A149" s="449" t="s">
        <v>20</v>
      </c>
      <c r="B149" s="428">
        <f t="shared" si="72"/>
        <v>68739.16000000008</v>
      </c>
      <c r="C149" s="629">
        <v>38671.41</v>
      </c>
      <c r="D149" s="629">
        <v>41075.53</v>
      </c>
      <c r="E149" s="450"/>
      <c r="F149" s="428">
        <f t="shared" si="76"/>
        <v>66335.04000000008</v>
      </c>
      <c r="G149" s="285">
        <f t="shared" si="73"/>
        <v>0</v>
      </c>
      <c r="H149" s="603"/>
      <c r="I149" s="1030">
        <v>0</v>
      </c>
      <c r="J149" s="478">
        <f t="shared" si="77"/>
        <v>0</v>
      </c>
      <c r="K149" s="479">
        <f t="shared" si="74"/>
        <v>3943.6699999999996</v>
      </c>
      <c r="L149" s="644">
        <v>777.4</v>
      </c>
      <c r="M149" s="914">
        <v>689</v>
      </c>
      <c r="N149" s="479">
        <f t="shared" si="78"/>
        <v>4032.0699999999997</v>
      </c>
      <c r="O149" s="636">
        <f t="shared" si="75"/>
        <v>104.58999999999995</v>
      </c>
      <c r="P149" s="633">
        <v>65.15</v>
      </c>
      <c r="Q149" s="480"/>
      <c r="R149" s="633">
        <v>65.15</v>
      </c>
      <c r="S149" s="473">
        <f t="shared" si="79"/>
        <v>104.58999999999995</v>
      </c>
      <c r="T149" s="474">
        <f t="shared" si="80"/>
        <v>65.15</v>
      </c>
      <c r="U149" s="475">
        <f t="shared" si="81"/>
        <v>689</v>
      </c>
      <c r="V149" s="482">
        <f t="shared" si="82"/>
        <v>0</v>
      </c>
      <c r="W149" s="477">
        <f t="shared" si="83"/>
        <v>754.15</v>
      </c>
      <c r="X149" s="444">
        <f t="shared" si="84"/>
        <v>39513.96000000001</v>
      </c>
      <c r="Y149" s="444">
        <f t="shared" si="85"/>
        <v>41829.68</v>
      </c>
      <c r="Z149" s="515">
        <f t="shared" si="86"/>
        <v>41140.68</v>
      </c>
    </row>
    <row r="150" spans="1:26" ht="24" customHeight="1">
      <c r="A150" s="398" t="s">
        <v>114</v>
      </c>
      <c r="B150" s="428">
        <f t="shared" si="72"/>
        <v>-449201.4000000005</v>
      </c>
      <c r="C150" s="629">
        <v>47200.74</v>
      </c>
      <c r="D150" s="629">
        <v>40963.88</v>
      </c>
      <c r="E150" s="450"/>
      <c r="F150" s="428">
        <f t="shared" si="76"/>
        <v>-442964.5400000005</v>
      </c>
      <c r="G150" s="285">
        <f t="shared" si="73"/>
        <v>875.0899999999999</v>
      </c>
      <c r="H150" s="600">
        <v>303.19</v>
      </c>
      <c r="I150" s="1030">
        <v>0</v>
      </c>
      <c r="J150" s="478">
        <f t="shared" si="77"/>
        <v>1178.28</v>
      </c>
      <c r="K150" s="479">
        <f t="shared" si="74"/>
        <v>789.96</v>
      </c>
      <c r="L150" s="1268">
        <v>1603.84</v>
      </c>
      <c r="M150" s="1031">
        <v>789.96</v>
      </c>
      <c r="N150" s="479">
        <f t="shared" si="78"/>
        <v>1603.8400000000001</v>
      </c>
      <c r="O150" s="636">
        <f t="shared" si="75"/>
        <v>-32.55000000000001</v>
      </c>
      <c r="P150" s="633">
        <v>2.71</v>
      </c>
      <c r="Q150" s="480"/>
      <c r="R150" s="633">
        <v>2.71</v>
      </c>
      <c r="S150" s="473">
        <f t="shared" si="79"/>
        <v>-32.55000000000001</v>
      </c>
      <c r="T150" s="474">
        <f t="shared" si="80"/>
        <v>2.71</v>
      </c>
      <c r="U150" s="475">
        <f t="shared" si="81"/>
        <v>789.96</v>
      </c>
      <c r="V150" s="482">
        <f t="shared" si="82"/>
        <v>0</v>
      </c>
      <c r="W150" s="477">
        <f t="shared" si="83"/>
        <v>792.6700000000001</v>
      </c>
      <c r="X150" s="444">
        <f t="shared" si="84"/>
        <v>49110.479999999996</v>
      </c>
      <c r="Y150" s="444">
        <f t="shared" si="85"/>
        <v>41756.549999999996</v>
      </c>
      <c r="Z150" s="515">
        <f t="shared" si="86"/>
        <v>40966.59</v>
      </c>
    </row>
    <row r="151" spans="1:26" ht="21" customHeight="1">
      <c r="A151" s="383" t="s">
        <v>124</v>
      </c>
      <c r="B151" s="428">
        <f t="shared" si="72"/>
        <v>23527.009999999937</v>
      </c>
      <c r="C151" s="629">
        <v>16815.18</v>
      </c>
      <c r="D151" s="629">
        <v>17901.13</v>
      </c>
      <c r="E151" s="450"/>
      <c r="F151" s="428">
        <f t="shared" si="76"/>
        <v>22441.059999999936</v>
      </c>
      <c r="G151" s="285">
        <f t="shared" si="73"/>
        <v>0</v>
      </c>
      <c r="H151" s="604"/>
      <c r="I151" s="1030">
        <v>0</v>
      </c>
      <c r="J151" s="478">
        <f t="shared" si="77"/>
        <v>0</v>
      </c>
      <c r="K151" s="479">
        <f t="shared" si="74"/>
        <v>0</v>
      </c>
      <c r="L151" s="965">
        <v>0</v>
      </c>
      <c r="M151" s="1032">
        <v>0</v>
      </c>
      <c r="N151" s="479">
        <f t="shared" si="78"/>
        <v>0</v>
      </c>
      <c r="O151" s="636">
        <f t="shared" si="75"/>
        <v>-6.630000000000006</v>
      </c>
      <c r="P151" s="633">
        <v>41.19</v>
      </c>
      <c r="Q151" s="480"/>
      <c r="R151" s="633">
        <v>43.65</v>
      </c>
      <c r="S151" s="473">
        <f t="shared" si="79"/>
        <v>-9.09000000000001</v>
      </c>
      <c r="T151" s="474">
        <f t="shared" si="80"/>
        <v>43.65</v>
      </c>
      <c r="U151" s="475">
        <f t="shared" si="81"/>
        <v>0</v>
      </c>
      <c r="V151" s="482">
        <f t="shared" si="82"/>
        <v>0</v>
      </c>
      <c r="W151" s="477">
        <f t="shared" si="83"/>
        <v>43.65</v>
      </c>
      <c r="X151" s="444">
        <f t="shared" si="84"/>
        <v>16856.37</v>
      </c>
      <c r="Y151" s="444">
        <f t="shared" si="85"/>
        <v>17944.780000000002</v>
      </c>
      <c r="Z151" s="515">
        <f t="shared" si="86"/>
        <v>17944.780000000002</v>
      </c>
    </row>
    <row r="152" spans="1:26" ht="21" customHeight="1">
      <c r="A152" s="708" t="s">
        <v>188</v>
      </c>
      <c r="B152" s="428">
        <f t="shared" si="72"/>
        <v>25080.789999999935</v>
      </c>
      <c r="C152" s="629">
        <v>44625.71</v>
      </c>
      <c r="D152" s="629">
        <v>42417.11</v>
      </c>
      <c r="E152" s="450"/>
      <c r="F152" s="428">
        <f t="shared" si="76"/>
        <v>27289.38999999994</v>
      </c>
      <c r="G152" s="285">
        <f t="shared" si="73"/>
        <v>3476.7799999999997</v>
      </c>
      <c r="H152" s="604">
        <v>382.12</v>
      </c>
      <c r="I152" s="1030">
        <v>0</v>
      </c>
      <c r="J152" s="478">
        <f t="shared" si="77"/>
        <v>3858.8999999999996</v>
      </c>
      <c r="K152" s="479">
        <f t="shared" si="74"/>
        <v>-3789.2999999999993</v>
      </c>
      <c r="L152" s="1147">
        <v>1649.28</v>
      </c>
      <c r="M152" s="914">
        <v>7243.24</v>
      </c>
      <c r="N152" s="479">
        <f t="shared" si="78"/>
        <v>-9383.259999999998</v>
      </c>
      <c r="O152" s="636">
        <f t="shared" si="75"/>
        <v>-4837.76</v>
      </c>
      <c r="P152" s="633">
        <v>49.08</v>
      </c>
      <c r="Q152" s="480"/>
      <c r="R152" s="633">
        <v>59.35</v>
      </c>
      <c r="S152" s="473">
        <f t="shared" si="79"/>
        <v>-4848.030000000001</v>
      </c>
      <c r="T152" s="474">
        <f t="shared" si="80"/>
        <v>59.35</v>
      </c>
      <c r="U152" s="481">
        <f aca="true" t="shared" si="87" ref="U152:U157">M152</f>
        <v>7243.24</v>
      </c>
      <c r="V152" s="482">
        <f t="shared" si="82"/>
        <v>0</v>
      </c>
      <c r="W152" s="477">
        <f t="shared" si="83"/>
        <v>7302.59</v>
      </c>
      <c r="X152" s="444">
        <f t="shared" si="84"/>
        <v>46706.19</v>
      </c>
      <c r="Y152" s="444">
        <f t="shared" si="85"/>
        <v>49719.7</v>
      </c>
      <c r="Z152" s="515">
        <f t="shared" si="86"/>
        <v>42476.46</v>
      </c>
    </row>
    <row r="153" spans="1:26" ht="21" customHeight="1">
      <c r="A153" s="708" t="s">
        <v>189</v>
      </c>
      <c r="B153" s="428">
        <f t="shared" si="72"/>
        <v>80660.06000000003</v>
      </c>
      <c r="C153" s="629">
        <v>51798.79</v>
      </c>
      <c r="D153" s="629">
        <v>48492.85</v>
      </c>
      <c r="E153" s="450"/>
      <c r="F153" s="428">
        <f t="shared" si="76"/>
        <v>83966.00000000003</v>
      </c>
      <c r="G153" s="285">
        <f t="shared" si="73"/>
        <v>12372.84</v>
      </c>
      <c r="H153" s="604">
        <v>2127.68</v>
      </c>
      <c r="I153" s="1030">
        <v>0</v>
      </c>
      <c r="J153" s="478">
        <f t="shared" si="77"/>
        <v>14500.52</v>
      </c>
      <c r="K153" s="479">
        <f t="shared" si="74"/>
        <v>-13983.989999999998</v>
      </c>
      <c r="L153" s="1147">
        <v>791.15</v>
      </c>
      <c r="M153" s="1033">
        <v>701.19</v>
      </c>
      <c r="N153" s="479">
        <f t="shared" si="78"/>
        <v>-13894.029999999999</v>
      </c>
      <c r="O153" s="636">
        <f t="shared" si="75"/>
        <v>-46792.68999999999</v>
      </c>
      <c r="P153" s="633">
        <v>51.97</v>
      </c>
      <c r="Q153" s="480"/>
      <c r="R153" s="633">
        <v>42.94</v>
      </c>
      <c r="S153" s="473">
        <f t="shared" si="79"/>
        <v>-46783.65999999999</v>
      </c>
      <c r="T153" s="474">
        <f t="shared" si="80"/>
        <v>42.94</v>
      </c>
      <c r="U153" s="481">
        <f t="shared" si="87"/>
        <v>701.19</v>
      </c>
      <c r="V153" s="482">
        <f t="shared" si="82"/>
        <v>0</v>
      </c>
      <c r="W153" s="477">
        <f t="shared" si="83"/>
        <v>744.1300000000001</v>
      </c>
      <c r="X153" s="444">
        <f t="shared" si="84"/>
        <v>54769.590000000004</v>
      </c>
      <c r="Y153" s="444">
        <f t="shared" si="85"/>
        <v>49236.98</v>
      </c>
      <c r="Z153" s="515">
        <f t="shared" si="86"/>
        <v>48535.79</v>
      </c>
    </row>
    <row r="154" spans="1:26" ht="21" customHeight="1">
      <c r="A154" s="708" t="s">
        <v>251</v>
      </c>
      <c r="B154" s="428">
        <f t="shared" si="72"/>
        <v>114690.64000000001</v>
      </c>
      <c r="C154" s="629">
        <v>47756.29</v>
      </c>
      <c r="D154" s="629">
        <v>49808.99</v>
      </c>
      <c r="E154" s="450"/>
      <c r="F154" s="428">
        <f t="shared" si="76"/>
        <v>112637.94000000003</v>
      </c>
      <c r="G154" s="285">
        <f t="shared" si="73"/>
        <v>0</v>
      </c>
      <c r="H154" s="604"/>
      <c r="I154" s="1030">
        <v>0</v>
      </c>
      <c r="J154" s="478">
        <f t="shared" si="77"/>
        <v>0</v>
      </c>
      <c r="K154" s="479">
        <f t="shared" si="74"/>
        <v>-62945.81</v>
      </c>
      <c r="L154" s="1147">
        <v>2174.33</v>
      </c>
      <c r="M154" s="1033">
        <v>2174.33</v>
      </c>
      <c r="N154" s="479">
        <f t="shared" si="78"/>
        <v>-62945.81</v>
      </c>
      <c r="O154" s="636">
        <f t="shared" si="75"/>
        <v>-58546.38000000001</v>
      </c>
      <c r="P154" s="633">
        <v>29.25</v>
      </c>
      <c r="Q154" s="480"/>
      <c r="R154" s="633">
        <f>30.39+629.56</f>
        <v>659.9499999999999</v>
      </c>
      <c r="S154" s="473">
        <f t="shared" si="79"/>
        <v>-59177.08000000001</v>
      </c>
      <c r="T154" s="474">
        <f t="shared" si="80"/>
        <v>659.9499999999999</v>
      </c>
      <c r="U154" s="481">
        <f t="shared" si="87"/>
        <v>2174.33</v>
      </c>
      <c r="V154" s="482">
        <f t="shared" si="82"/>
        <v>0</v>
      </c>
      <c r="W154" s="477">
        <f t="shared" si="83"/>
        <v>2834.2799999999997</v>
      </c>
      <c r="X154" s="444">
        <f t="shared" si="84"/>
        <v>49959.87</v>
      </c>
      <c r="Y154" s="444">
        <f t="shared" si="85"/>
        <v>52643.27</v>
      </c>
      <c r="Z154" s="515">
        <f t="shared" si="86"/>
        <v>50468.939999999995</v>
      </c>
    </row>
    <row r="155" spans="1:26" ht="21" customHeight="1">
      <c r="A155" s="708" t="s">
        <v>249</v>
      </c>
      <c r="B155" s="428">
        <f t="shared" si="72"/>
        <v>43902.71</v>
      </c>
      <c r="C155" s="629">
        <v>17768.29</v>
      </c>
      <c r="D155" s="629">
        <v>26484.7</v>
      </c>
      <c r="E155" s="450"/>
      <c r="F155" s="428">
        <f t="shared" si="76"/>
        <v>35186.3</v>
      </c>
      <c r="G155" s="285">
        <f t="shared" si="73"/>
        <v>0</v>
      </c>
      <c r="H155" s="604"/>
      <c r="I155" s="1030">
        <v>0</v>
      </c>
      <c r="J155" s="478">
        <f t="shared" si="77"/>
        <v>0</v>
      </c>
      <c r="K155" s="479">
        <f t="shared" si="74"/>
        <v>0</v>
      </c>
      <c r="L155" s="965">
        <v>0</v>
      </c>
      <c r="M155" s="479"/>
      <c r="N155" s="479">
        <f t="shared" si="78"/>
        <v>0</v>
      </c>
      <c r="O155" s="636">
        <f t="shared" si="75"/>
        <v>-1939.3500000000001</v>
      </c>
      <c r="P155" s="633">
        <v>21.17</v>
      </c>
      <c r="Q155" s="480"/>
      <c r="R155" s="633">
        <f>1772.8</f>
        <v>1772.8</v>
      </c>
      <c r="S155" s="473">
        <f t="shared" si="79"/>
        <v>-3690.98</v>
      </c>
      <c r="T155" s="474">
        <f t="shared" si="80"/>
        <v>1772.8</v>
      </c>
      <c r="U155" s="481">
        <f t="shared" si="87"/>
        <v>0</v>
      </c>
      <c r="V155" s="482">
        <f t="shared" si="82"/>
        <v>0</v>
      </c>
      <c r="W155" s="477">
        <f t="shared" si="83"/>
        <v>1772.8</v>
      </c>
      <c r="X155" s="444">
        <f t="shared" si="84"/>
        <v>17789.46</v>
      </c>
      <c r="Y155" s="444">
        <f t="shared" si="85"/>
        <v>28257.5</v>
      </c>
      <c r="Z155" s="515">
        <f t="shared" si="86"/>
        <v>28257.5</v>
      </c>
    </row>
    <row r="156" spans="1:26" ht="21" customHeight="1">
      <c r="A156" s="708" t="s">
        <v>304</v>
      </c>
      <c r="B156" s="428">
        <f>F125</f>
        <v>367967.6299999998</v>
      </c>
      <c r="C156" s="629">
        <v>62547.26</v>
      </c>
      <c r="D156" s="629">
        <v>77949.54</v>
      </c>
      <c r="E156" s="450"/>
      <c r="F156" s="428">
        <f t="shared" si="76"/>
        <v>352565.3499999998</v>
      </c>
      <c r="G156" s="285">
        <f>J125</f>
        <v>0</v>
      </c>
      <c r="H156" s="604"/>
      <c r="I156" s="1030">
        <v>0</v>
      </c>
      <c r="J156" s="478">
        <f t="shared" si="77"/>
        <v>0</v>
      </c>
      <c r="K156" s="479">
        <f t="shared" si="74"/>
        <v>42.97999999999956</v>
      </c>
      <c r="L156" s="1147">
        <v>1889.09</v>
      </c>
      <c r="M156" s="479">
        <v>1889.09</v>
      </c>
      <c r="N156" s="479">
        <f t="shared" si="78"/>
        <v>42.97999999999956</v>
      </c>
      <c r="O156" s="636">
        <f t="shared" si="75"/>
        <v>-10590.95</v>
      </c>
      <c r="P156" s="633">
        <v>732.26</v>
      </c>
      <c r="Q156" s="480"/>
      <c r="R156" s="633">
        <f>695.09+10021.82</f>
        <v>10716.91</v>
      </c>
      <c r="S156" s="473">
        <f t="shared" si="79"/>
        <v>-20575.6</v>
      </c>
      <c r="T156" s="474">
        <f t="shared" si="80"/>
        <v>10716.91</v>
      </c>
      <c r="U156" s="481">
        <f t="shared" si="87"/>
        <v>1889.09</v>
      </c>
      <c r="V156" s="482">
        <f t="shared" si="82"/>
        <v>0</v>
      </c>
      <c r="W156" s="477">
        <f t="shared" si="83"/>
        <v>12606</v>
      </c>
      <c r="X156" s="444">
        <f t="shared" si="84"/>
        <v>65168.61</v>
      </c>
      <c r="Y156" s="444">
        <f t="shared" si="85"/>
        <v>90555.54</v>
      </c>
      <c r="Z156" s="515">
        <f t="shared" si="86"/>
        <v>88666.45</v>
      </c>
    </row>
    <row r="157" spans="1:26" ht="21" customHeight="1">
      <c r="A157" s="708" t="s">
        <v>321</v>
      </c>
      <c r="B157" s="428">
        <f t="shared" si="72"/>
        <v>454263.1799999999</v>
      </c>
      <c r="C157" s="629">
        <v>63992.51</v>
      </c>
      <c r="D157" s="629">
        <v>123890.2</v>
      </c>
      <c r="E157" s="450"/>
      <c r="F157" s="428">
        <f t="shared" si="76"/>
        <v>394365.4899999999</v>
      </c>
      <c r="G157" s="285">
        <f t="shared" si="73"/>
        <v>0</v>
      </c>
      <c r="H157" s="604"/>
      <c r="I157" s="1030">
        <v>0</v>
      </c>
      <c r="J157" s="478">
        <f t="shared" si="77"/>
        <v>0</v>
      </c>
      <c r="K157" s="479">
        <f t="shared" si="74"/>
        <v>6929.71</v>
      </c>
      <c r="L157" s="1147">
        <v>6247.31</v>
      </c>
      <c r="M157" s="479">
        <v>6247.31</v>
      </c>
      <c r="N157" s="479">
        <f t="shared" si="78"/>
        <v>6929.71</v>
      </c>
      <c r="O157" s="636">
        <f t="shared" si="75"/>
        <v>-85467.31</v>
      </c>
      <c r="P157" s="633">
        <v>1411.25</v>
      </c>
      <c r="Q157" s="480"/>
      <c r="R157" s="633">
        <f>1483.55+13678.51</f>
        <v>15162.06</v>
      </c>
      <c r="S157" s="473">
        <f t="shared" si="79"/>
        <v>-99218.12</v>
      </c>
      <c r="T157" s="474">
        <f t="shared" si="80"/>
        <v>15162.06</v>
      </c>
      <c r="U157" s="481">
        <f t="shared" si="87"/>
        <v>6247.31</v>
      </c>
      <c r="V157" s="482">
        <f t="shared" si="82"/>
        <v>0</v>
      </c>
      <c r="W157" s="477">
        <f t="shared" si="83"/>
        <v>21409.37</v>
      </c>
      <c r="X157" s="444">
        <f t="shared" si="84"/>
        <v>71651.07</v>
      </c>
      <c r="Y157" s="444">
        <f t="shared" si="85"/>
        <v>145299.57</v>
      </c>
      <c r="Z157" s="515">
        <f t="shared" si="86"/>
        <v>139052.26</v>
      </c>
    </row>
    <row r="158" spans="1:26" ht="18.75">
      <c r="A158" s="1298" t="s">
        <v>127</v>
      </c>
      <c r="B158" s="1299">
        <f>SUM(B131:B157)</f>
        <v>2558768.320000001</v>
      </c>
      <c r="C158" s="1299">
        <f>SUM(C131:C157)</f>
        <v>1071363.5700000003</v>
      </c>
      <c r="D158" s="1299">
        <f>SUM(D131:D157)</f>
        <v>1156905.27</v>
      </c>
      <c r="E158" s="1038"/>
      <c r="F158" s="738">
        <f aca="true" t="shared" si="88" ref="F158:P158">SUM(F131:F157)</f>
        <v>2473226.620000001</v>
      </c>
      <c r="G158" s="738">
        <f t="shared" si="88"/>
        <v>154321.83</v>
      </c>
      <c r="H158" s="1038">
        <f t="shared" si="88"/>
        <v>10659.769999999999</v>
      </c>
      <c r="I158" s="708">
        <f t="shared" si="88"/>
        <v>0</v>
      </c>
      <c r="J158" s="738">
        <f t="shared" si="88"/>
        <v>164981.59999999995</v>
      </c>
      <c r="K158" s="738">
        <f t="shared" si="88"/>
        <v>-58287.679999999986</v>
      </c>
      <c r="L158" s="913">
        <f t="shared" si="88"/>
        <v>39307.06999999999</v>
      </c>
      <c r="M158" s="913">
        <f t="shared" si="88"/>
        <v>35513.28999999999</v>
      </c>
      <c r="N158" s="738">
        <f t="shared" si="88"/>
        <v>-54493.89999999999</v>
      </c>
      <c r="O158" s="1031">
        <f t="shared" si="88"/>
        <v>-211832.88</v>
      </c>
      <c r="P158" s="915">
        <f t="shared" si="88"/>
        <v>3593.3500000000004</v>
      </c>
      <c r="Q158" s="915"/>
      <c r="R158" s="915">
        <f>SUM(R131:R157)</f>
        <v>29587.36</v>
      </c>
      <c r="S158" s="738">
        <f>SUM(S131:S157)</f>
        <v>-237826.88999999998</v>
      </c>
      <c r="T158" s="915">
        <f>SUM(T131:T157)</f>
        <v>29587.36</v>
      </c>
      <c r="U158" s="738">
        <f>SUM(U131:U157)</f>
        <v>35513.28999999999</v>
      </c>
      <c r="V158" s="1031">
        <f>SUM(V131:V157)</f>
        <v>0</v>
      </c>
      <c r="W158" s="738">
        <f>T158+U158+V158</f>
        <v>65100.649999999994</v>
      </c>
      <c r="X158" s="1300">
        <f>SUM(X131:X157)</f>
        <v>1124923.7600000002</v>
      </c>
      <c r="Y158" s="1300">
        <f>SUM(Y131:Y157)</f>
        <v>1222005.9200000002</v>
      </c>
      <c r="Z158" s="1301">
        <f>SUM(Z131:Z157)</f>
        <v>1186492.63</v>
      </c>
    </row>
    <row r="159" spans="1:26" s="667" customFormat="1" ht="18.75">
      <c r="A159" s="904"/>
      <c r="B159" s="905"/>
      <c r="C159" s="906"/>
      <c r="D159" s="907"/>
      <c r="E159" s="908"/>
      <c r="F159" s="909"/>
      <c r="G159" s="910"/>
      <c r="H159" s="911"/>
      <c r="I159" s="912"/>
      <c r="J159" s="909"/>
      <c r="K159" s="910"/>
      <c r="L159" s="913"/>
      <c r="M159" s="913"/>
      <c r="N159" s="738"/>
      <c r="O159" s="914"/>
      <c r="P159" s="915"/>
      <c r="Q159" s="915"/>
      <c r="R159" s="915"/>
      <c r="S159" s="738"/>
      <c r="T159" s="916"/>
      <c r="U159" s="917"/>
      <c r="V159" s="918"/>
      <c r="W159" s="909"/>
      <c r="X159" s="866"/>
      <c r="Y159" s="866"/>
      <c r="Z159" s="919"/>
    </row>
    <row r="160" spans="1:25" ht="33" customHeight="1">
      <c r="A160" s="434" t="s">
        <v>125</v>
      </c>
      <c r="B160" s="1623" t="s">
        <v>290</v>
      </c>
      <c r="C160" s="1597" t="s">
        <v>133</v>
      </c>
      <c r="D160" s="1598"/>
      <c r="E160" s="1598"/>
      <c r="F160" s="1599"/>
      <c r="G160" s="417" t="s">
        <v>27</v>
      </c>
      <c r="H160" s="1600" t="s">
        <v>3</v>
      </c>
      <c r="I160" s="1601"/>
      <c r="J160" s="1602"/>
      <c r="K160" s="418" t="s">
        <v>27</v>
      </c>
      <c r="L160" s="1570" t="s">
        <v>4</v>
      </c>
      <c r="M160" s="1570"/>
      <c r="N160" s="1570"/>
      <c r="O160" s="419" t="s">
        <v>27</v>
      </c>
      <c r="P160" s="1614" t="s">
        <v>23</v>
      </c>
      <c r="Q160" s="1614"/>
      <c r="R160" s="1614"/>
      <c r="S160" s="1614"/>
      <c r="T160" s="1609" t="s">
        <v>430</v>
      </c>
      <c r="U160" s="1610"/>
      <c r="V160" s="1610"/>
      <c r="W160" s="1611"/>
      <c r="X160" s="435"/>
      <c r="Y160" s="435"/>
    </row>
    <row r="161" spans="1:30" ht="37.5">
      <c r="A161" s="420" t="s">
        <v>1</v>
      </c>
      <c r="B161" s="1624"/>
      <c r="C161" s="421" t="s">
        <v>5</v>
      </c>
      <c r="D161" s="421" t="s">
        <v>6</v>
      </c>
      <c r="E161" s="421" t="s">
        <v>65</v>
      </c>
      <c r="F161" s="421" t="s">
        <v>7</v>
      </c>
      <c r="G161" s="422" t="s">
        <v>290</v>
      </c>
      <c r="H161" s="423" t="s">
        <v>5</v>
      </c>
      <c r="I161" s="423" t="s">
        <v>6</v>
      </c>
      <c r="J161" s="422" t="s">
        <v>171</v>
      </c>
      <c r="K161" s="1205" t="s">
        <v>290</v>
      </c>
      <c r="L161" s="1205" t="s">
        <v>5</v>
      </c>
      <c r="M161" s="1205" t="s">
        <v>6</v>
      </c>
      <c r="N161" s="1205" t="s">
        <v>25</v>
      </c>
      <c r="O161" s="1202" t="s">
        <v>290</v>
      </c>
      <c r="P161" s="1202" t="s">
        <v>5</v>
      </c>
      <c r="Q161" s="1202" t="s">
        <v>64</v>
      </c>
      <c r="R161" s="1202" t="s">
        <v>6</v>
      </c>
      <c r="S161" s="1202" t="s">
        <v>25</v>
      </c>
      <c r="T161" s="296" t="s">
        <v>94</v>
      </c>
      <c r="U161" s="296" t="s">
        <v>69</v>
      </c>
      <c r="V161" s="296" t="s">
        <v>95</v>
      </c>
      <c r="W161" s="453" t="s">
        <v>154</v>
      </c>
      <c r="X161" s="426" t="s">
        <v>106</v>
      </c>
      <c r="Y161" s="426" t="s">
        <v>107</v>
      </c>
      <c r="Z161" s="572" t="s">
        <v>153</v>
      </c>
      <c r="AB161" s="1588" t="s">
        <v>170</v>
      </c>
      <c r="AC161" s="1589"/>
      <c r="AD161" s="1590"/>
    </row>
    <row r="162" spans="1:30" ht="18.75">
      <c r="A162" s="431" t="s">
        <v>47</v>
      </c>
      <c r="B162" s="428">
        <f aca="true" t="shared" si="89" ref="B162:B188">F131</f>
        <v>111570.68999999994</v>
      </c>
      <c r="C162" s="429">
        <v>15117.68</v>
      </c>
      <c r="D162" s="429">
        <v>14143.37</v>
      </c>
      <c r="E162" s="282"/>
      <c r="F162" s="428">
        <f aca="true" t="shared" si="90" ref="F162:F188">B162+C162-D162</f>
        <v>112544.99999999994</v>
      </c>
      <c r="G162" s="285">
        <f aca="true" t="shared" si="91" ref="G162:G188">J131</f>
        <v>28361.269999999982</v>
      </c>
      <c r="H162" s="1209">
        <v>1322.78</v>
      </c>
      <c r="I162" s="1030">
        <v>1862.42</v>
      </c>
      <c r="J162" s="285">
        <f>G162+H162-I162</f>
        <v>27821.629999999983</v>
      </c>
      <c r="K162" s="302">
        <f aca="true" t="shared" si="92" ref="K162:K188">N131</f>
        <v>-545.3099999999995</v>
      </c>
      <c r="L162" s="1209">
        <v>4819.88</v>
      </c>
      <c r="M162" s="1030">
        <v>9639.76</v>
      </c>
      <c r="N162" s="302">
        <f>K162+L162-M162</f>
        <v>-5365.19</v>
      </c>
      <c r="O162" s="301">
        <f aca="true" t="shared" si="93" ref="O162:O188">S131</f>
        <v>-1492.34</v>
      </c>
      <c r="P162" s="439">
        <v>41.58</v>
      </c>
      <c r="Q162" s="440"/>
      <c r="R162" s="439">
        <v>40.56</v>
      </c>
      <c r="S162" s="301">
        <f>O162+P162-R162</f>
        <v>-1491.32</v>
      </c>
      <c r="T162" s="307">
        <f>R162</f>
        <v>40.56</v>
      </c>
      <c r="U162" s="475">
        <f>M162</f>
        <v>9639.76</v>
      </c>
      <c r="V162" s="475">
        <f>I162</f>
        <v>1862.42</v>
      </c>
      <c r="W162" s="475">
        <f>T162+U162+V162</f>
        <v>11542.74</v>
      </c>
      <c r="X162" s="444">
        <f>C162+H162+L162+P162</f>
        <v>21301.920000000002</v>
      </c>
      <c r="Y162" s="444">
        <f>D162+I162+M162+R162</f>
        <v>25686.110000000004</v>
      </c>
      <c r="Z162" s="512">
        <f>D162+R162</f>
        <v>14183.93</v>
      </c>
      <c r="AB162" s="8">
        <f aca="true" t="shared" si="94" ref="AB162:AB188">AC100+X131+X162</f>
        <v>64299.93000000001</v>
      </c>
      <c r="AC162" s="8">
        <f aca="true" t="shared" si="95" ref="AC162:AC188">AE100+Z131+Z162+AB100</f>
        <v>58949.69</v>
      </c>
      <c r="AD162" s="41"/>
    </row>
    <row r="163" spans="1:30" ht="18.75">
      <c r="A163" s="431" t="s">
        <v>53</v>
      </c>
      <c r="B163" s="428">
        <f t="shared" si="89"/>
        <v>124017.9400000002</v>
      </c>
      <c r="C163" s="429">
        <v>33877.29</v>
      </c>
      <c r="D163" s="429">
        <v>32158.71</v>
      </c>
      <c r="E163" s="282"/>
      <c r="F163" s="428">
        <f t="shared" si="90"/>
        <v>125736.52000000022</v>
      </c>
      <c r="G163" s="285">
        <f t="shared" si="91"/>
        <v>1238.6899999999996</v>
      </c>
      <c r="H163" s="1209">
        <v>294.05</v>
      </c>
      <c r="I163" s="1030">
        <v>379.18</v>
      </c>
      <c r="J163" s="285">
        <f aca="true" t="shared" si="96" ref="J163:J188">G163+H163-I163</f>
        <v>1153.5599999999995</v>
      </c>
      <c r="K163" s="302">
        <f t="shared" si="92"/>
        <v>-3623.4</v>
      </c>
      <c r="L163" s="1209">
        <v>137.45</v>
      </c>
      <c r="M163" s="1030">
        <v>137.45</v>
      </c>
      <c r="N163" s="302">
        <f aca="true" t="shared" si="97" ref="N163:N188">K163+L163-M163</f>
        <v>-3623.4</v>
      </c>
      <c r="O163" s="301">
        <f t="shared" si="93"/>
        <v>138.76</v>
      </c>
      <c r="P163" s="439">
        <v>39.8</v>
      </c>
      <c r="Q163" s="440"/>
      <c r="R163" s="439">
        <v>37.46</v>
      </c>
      <c r="S163" s="301">
        <f>O163+P163-R163</f>
        <v>141.1</v>
      </c>
      <c r="T163" s="307">
        <f aca="true" t="shared" si="98" ref="T163:T188">R163</f>
        <v>37.46</v>
      </c>
      <c r="U163" s="475">
        <f aca="true" t="shared" si="99" ref="U163:U188">M163</f>
        <v>137.45</v>
      </c>
      <c r="V163" s="475">
        <f aca="true" t="shared" si="100" ref="V163:V188">I163</f>
        <v>379.18</v>
      </c>
      <c r="W163" s="475">
        <f aca="true" t="shared" si="101" ref="W163:W188">T163+U163+V163</f>
        <v>554.09</v>
      </c>
      <c r="X163" s="444">
        <f aca="true" t="shared" si="102" ref="X163:X188">C163+H163+L163+P163</f>
        <v>34348.590000000004</v>
      </c>
      <c r="Y163" s="444">
        <f aca="true" t="shared" si="103" ref="Y163:Y188">D163+I163+M163+R163</f>
        <v>32712.8</v>
      </c>
      <c r="Z163" s="512">
        <f aca="true" t="shared" si="104" ref="Z163:Z188">D163+R163</f>
        <v>32196.17</v>
      </c>
      <c r="AB163" s="8">
        <f t="shared" si="94"/>
        <v>103021.18</v>
      </c>
      <c r="AC163" s="8">
        <f t="shared" si="95"/>
        <v>101253.09</v>
      </c>
      <c r="AD163" s="41"/>
    </row>
    <row r="164" spans="1:30" ht="18.75">
      <c r="A164" s="431" t="s">
        <v>8</v>
      </c>
      <c r="B164" s="428">
        <f t="shared" si="89"/>
        <v>74445.62</v>
      </c>
      <c r="C164" s="428"/>
      <c r="D164" s="428"/>
      <c r="E164" s="428"/>
      <c r="F164" s="428">
        <f t="shared" si="90"/>
        <v>74445.62</v>
      </c>
      <c r="G164" s="285">
        <f t="shared" si="91"/>
        <v>0</v>
      </c>
      <c r="H164" s="1210"/>
      <c r="I164" s="1030">
        <v>0</v>
      </c>
      <c r="J164" s="285">
        <f t="shared" si="96"/>
        <v>0</v>
      </c>
      <c r="K164" s="302">
        <f t="shared" si="92"/>
        <v>0</v>
      </c>
      <c r="L164" s="1210"/>
      <c r="M164" s="1030"/>
      <c r="N164" s="302">
        <f t="shared" si="97"/>
        <v>0</v>
      </c>
      <c r="O164" s="301">
        <f t="shared" si="93"/>
        <v>0</v>
      </c>
      <c r="P164" s="301"/>
      <c r="Q164" s="301"/>
      <c r="R164" s="301"/>
      <c r="S164" s="301">
        <f>O164+P164-R164</f>
        <v>0</v>
      </c>
      <c r="T164" s="307">
        <f t="shared" si="98"/>
        <v>0</v>
      </c>
      <c r="U164" s="475">
        <f t="shared" si="99"/>
        <v>0</v>
      </c>
      <c r="V164" s="475">
        <f t="shared" si="100"/>
        <v>0</v>
      </c>
      <c r="W164" s="475">
        <f t="shared" si="101"/>
        <v>0</v>
      </c>
      <c r="X164" s="444">
        <f t="shared" si="102"/>
        <v>0</v>
      </c>
      <c r="Y164" s="444">
        <f t="shared" si="103"/>
        <v>0</v>
      </c>
      <c r="Z164" s="512">
        <f t="shared" si="104"/>
        <v>0</v>
      </c>
      <c r="AB164" s="8">
        <f t="shared" si="94"/>
        <v>0</v>
      </c>
      <c r="AC164" s="8">
        <f t="shared" si="95"/>
        <v>0</v>
      </c>
      <c r="AD164" s="41"/>
    </row>
    <row r="165" spans="1:30" ht="18.75">
      <c r="A165" s="431" t="s">
        <v>48</v>
      </c>
      <c r="B165" s="428">
        <f t="shared" si="89"/>
        <v>385040.7800000002</v>
      </c>
      <c r="C165" s="428">
        <v>81566.25</v>
      </c>
      <c r="D165" s="428">
        <v>79513.73</v>
      </c>
      <c r="E165" s="428"/>
      <c r="F165" s="428">
        <f t="shared" si="90"/>
        <v>387093.3000000002</v>
      </c>
      <c r="G165" s="285">
        <f t="shared" si="91"/>
        <v>28962.809999999994</v>
      </c>
      <c r="H165" s="1210">
        <v>1401.11</v>
      </c>
      <c r="I165" s="1030">
        <v>2105.69</v>
      </c>
      <c r="J165" s="285">
        <f t="shared" si="96"/>
        <v>28258.229999999996</v>
      </c>
      <c r="K165" s="302">
        <f t="shared" si="92"/>
        <v>0.42000000000086857</v>
      </c>
      <c r="L165" s="1210">
        <v>2139.04</v>
      </c>
      <c r="M165" s="1030">
        <v>905.37</v>
      </c>
      <c r="N165" s="302">
        <f t="shared" si="97"/>
        <v>1234.090000000001</v>
      </c>
      <c r="O165" s="301">
        <f t="shared" si="93"/>
        <v>-2175.8099999999995</v>
      </c>
      <c r="P165" s="301">
        <v>346.72</v>
      </c>
      <c r="Q165" s="301"/>
      <c r="R165" s="301">
        <v>0</v>
      </c>
      <c r="S165" s="301">
        <f>O165+P165-R165</f>
        <v>-1829.0899999999995</v>
      </c>
      <c r="T165" s="307">
        <f t="shared" si="98"/>
        <v>0</v>
      </c>
      <c r="U165" s="475">
        <f t="shared" si="99"/>
        <v>905.37</v>
      </c>
      <c r="V165" s="475">
        <f t="shared" si="100"/>
        <v>2105.69</v>
      </c>
      <c r="W165" s="475">
        <f t="shared" si="101"/>
        <v>3011.06</v>
      </c>
      <c r="X165" s="444">
        <f t="shared" si="102"/>
        <v>85453.12</v>
      </c>
      <c r="Y165" s="444">
        <f t="shared" si="103"/>
        <v>82524.79</v>
      </c>
      <c r="Z165" s="512">
        <f t="shared" si="104"/>
        <v>79513.73</v>
      </c>
      <c r="AB165" s="8">
        <f t="shared" si="94"/>
        <v>256296.06</v>
      </c>
      <c r="AC165" s="8">
        <f t="shared" si="95"/>
        <v>237812.55</v>
      </c>
      <c r="AD165" s="41"/>
    </row>
    <row r="166" spans="1:30" ht="18.75">
      <c r="A166" s="431" t="s">
        <v>9</v>
      </c>
      <c r="B166" s="428">
        <f t="shared" si="89"/>
        <v>127483.11000000006</v>
      </c>
      <c r="C166" s="429">
        <v>20363.74</v>
      </c>
      <c r="D166" s="428">
        <v>17959.5</v>
      </c>
      <c r="E166" s="428"/>
      <c r="F166" s="428">
        <f t="shared" si="90"/>
        <v>129887.35000000006</v>
      </c>
      <c r="G166" s="285">
        <f t="shared" si="91"/>
        <v>34000.259999999995</v>
      </c>
      <c r="H166" s="1210">
        <f>1508.75+112.42</f>
        <v>1621.17</v>
      </c>
      <c r="I166" s="1030">
        <v>2197.91</v>
      </c>
      <c r="J166" s="285">
        <f t="shared" si="96"/>
        <v>33423.51999999999</v>
      </c>
      <c r="K166" s="302">
        <f t="shared" si="92"/>
        <v>0</v>
      </c>
      <c r="L166" s="1210"/>
      <c r="M166" s="1030"/>
      <c r="N166" s="302">
        <f t="shared" si="97"/>
        <v>0</v>
      </c>
      <c r="O166" s="301">
        <f t="shared" si="93"/>
        <v>1093.0799999999997</v>
      </c>
      <c r="P166" s="301">
        <v>10.86</v>
      </c>
      <c r="Q166" s="301"/>
      <c r="R166" s="301">
        <v>10.51</v>
      </c>
      <c r="S166" s="301">
        <f>O166+P166-R166</f>
        <v>1093.4299999999996</v>
      </c>
      <c r="T166" s="307">
        <f t="shared" si="98"/>
        <v>10.51</v>
      </c>
      <c r="U166" s="738">
        <f t="shared" si="99"/>
        <v>0</v>
      </c>
      <c r="V166" s="475">
        <f t="shared" si="100"/>
        <v>2197.91</v>
      </c>
      <c r="W166" s="475">
        <f t="shared" si="101"/>
        <v>2208.42</v>
      </c>
      <c r="X166" s="444">
        <f t="shared" si="102"/>
        <v>21995.770000000004</v>
      </c>
      <c r="Y166" s="444">
        <f t="shared" si="103"/>
        <v>20167.92</v>
      </c>
      <c r="Z166" s="512">
        <f t="shared" si="104"/>
        <v>17970.01</v>
      </c>
      <c r="AB166" s="8">
        <f t="shared" si="94"/>
        <v>66078.27000000002</v>
      </c>
      <c r="AC166" s="8">
        <f t="shared" si="95"/>
        <v>57552.75</v>
      </c>
      <c r="AD166" s="41"/>
    </row>
    <row r="167" spans="1:30" ht="18.75">
      <c r="A167" s="431" t="s">
        <v>10</v>
      </c>
      <c r="B167" s="428">
        <f t="shared" si="89"/>
        <v>10652.520000000093</v>
      </c>
      <c r="C167" s="429">
        <v>8796.01</v>
      </c>
      <c r="D167" s="428">
        <v>10231.57</v>
      </c>
      <c r="E167" s="428"/>
      <c r="F167" s="428">
        <f t="shared" si="90"/>
        <v>9216.960000000094</v>
      </c>
      <c r="G167" s="285">
        <f t="shared" si="91"/>
        <v>0</v>
      </c>
      <c r="H167" s="1210"/>
      <c r="I167" s="1030"/>
      <c r="J167" s="285">
        <f t="shared" si="96"/>
        <v>0</v>
      </c>
      <c r="K167" s="302">
        <f t="shared" si="92"/>
        <v>0</v>
      </c>
      <c r="L167" s="1210"/>
      <c r="M167" s="1030"/>
      <c r="N167" s="302">
        <f t="shared" si="97"/>
        <v>0</v>
      </c>
      <c r="O167" s="301">
        <f t="shared" si="93"/>
        <v>21.829999999999995</v>
      </c>
      <c r="P167" s="301">
        <v>49.44</v>
      </c>
      <c r="Q167" s="301"/>
      <c r="R167" s="301">
        <v>23.59</v>
      </c>
      <c r="S167" s="301">
        <f aca="true" t="shared" si="105" ref="S167:S188">O167+P167-R167</f>
        <v>47.67999999999999</v>
      </c>
      <c r="T167" s="307">
        <f t="shared" si="98"/>
        <v>23.59</v>
      </c>
      <c r="U167" s="475">
        <f t="shared" si="99"/>
        <v>0</v>
      </c>
      <c r="V167" s="475">
        <f t="shared" si="100"/>
        <v>0</v>
      </c>
      <c r="W167" s="475">
        <f t="shared" si="101"/>
        <v>23.59</v>
      </c>
      <c r="X167" s="444">
        <f t="shared" si="102"/>
        <v>8845.45</v>
      </c>
      <c r="Y167" s="444">
        <f t="shared" si="103"/>
        <v>10255.16</v>
      </c>
      <c r="Z167" s="512">
        <f t="shared" si="104"/>
        <v>10255.16</v>
      </c>
      <c r="AB167" s="8">
        <f t="shared" si="94"/>
        <v>26458.52</v>
      </c>
      <c r="AC167" s="8">
        <f t="shared" si="95"/>
        <v>28074.14</v>
      </c>
      <c r="AD167" s="41"/>
    </row>
    <row r="168" spans="1:30" ht="18.75">
      <c r="A168" s="431" t="s">
        <v>11</v>
      </c>
      <c r="B168" s="428">
        <f t="shared" si="89"/>
        <v>8381.680000000037</v>
      </c>
      <c r="C168" s="428">
        <v>8764.88</v>
      </c>
      <c r="D168" s="428">
        <v>6936.18</v>
      </c>
      <c r="E168" s="428"/>
      <c r="F168" s="428">
        <f t="shared" si="90"/>
        <v>10210.380000000034</v>
      </c>
      <c r="G168" s="285">
        <f t="shared" si="91"/>
        <v>0</v>
      </c>
      <c r="H168" s="1210"/>
      <c r="I168" s="1030"/>
      <c r="J168" s="285">
        <f t="shared" si="96"/>
        <v>0</v>
      </c>
      <c r="K168" s="302">
        <f t="shared" si="92"/>
        <v>0</v>
      </c>
      <c r="L168" s="1210"/>
      <c r="M168" s="1030"/>
      <c r="N168" s="302">
        <f t="shared" si="97"/>
        <v>0</v>
      </c>
      <c r="O168" s="301">
        <f t="shared" si="93"/>
        <v>90.45</v>
      </c>
      <c r="P168" s="301"/>
      <c r="Q168" s="301"/>
      <c r="R168" s="301"/>
      <c r="S168" s="301">
        <f t="shared" si="105"/>
        <v>90.45</v>
      </c>
      <c r="T168" s="307">
        <f t="shared" si="98"/>
        <v>0</v>
      </c>
      <c r="U168" s="475">
        <f t="shared" si="99"/>
        <v>0</v>
      </c>
      <c r="V168" s="475">
        <f t="shared" si="100"/>
        <v>0</v>
      </c>
      <c r="W168" s="475">
        <f t="shared" si="101"/>
        <v>0</v>
      </c>
      <c r="X168" s="444">
        <f t="shared" si="102"/>
        <v>8764.88</v>
      </c>
      <c r="Y168" s="444">
        <f t="shared" si="103"/>
        <v>6936.18</v>
      </c>
      <c r="Z168" s="512">
        <f t="shared" si="104"/>
        <v>6936.18</v>
      </c>
      <c r="AB168" s="8">
        <f t="shared" si="94"/>
        <v>26306.519999999997</v>
      </c>
      <c r="AC168" s="8">
        <f t="shared" si="95"/>
        <v>25831.379999999997</v>
      </c>
      <c r="AD168" s="41"/>
    </row>
    <row r="169" spans="1:30" ht="18.75">
      <c r="A169" s="431" t="s">
        <v>12</v>
      </c>
      <c r="B169" s="428">
        <f t="shared" si="89"/>
        <v>89050.92000000019</v>
      </c>
      <c r="C169" s="428">
        <v>49803.18</v>
      </c>
      <c r="D169" s="428">
        <v>44813.42</v>
      </c>
      <c r="E169" s="428"/>
      <c r="F169" s="428">
        <f t="shared" si="90"/>
        <v>94040.68000000018</v>
      </c>
      <c r="G169" s="285">
        <f t="shared" si="91"/>
        <v>8992.869999999995</v>
      </c>
      <c r="H169" s="1210">
        <v>583.65</v>
      </c>
      <c r="I169" s="1030">
        <v>517.28</v>
      </c>
      <c r="J169" s="285">
        <f t="shared" si="96"/>
        <v>9059.239999999994</v>
      </c>
      <c r="K169" s="302">
        <f t="shared" si="92"/>
        <v>1508.3999999999985</v>
      </c>
      <c r="L169" s="1210">
        <v>1722.24</v>
      </c>
      <c r="M169" s="1030">
        <v>1722.24</v>
      </c>
      <c r="N169" s="302">
        <f t="shared" si="97"/>
        <v>1508.3999999999985</v>
      </c>
      <c r="O169" s="301">
        <f t="shared" si="93"/>
        <v>349.73</v>
      </c>
      <c r="P169" s="301">
        <v>30.2</v>
      </c>
      <c r="Q169" s="301"/>
      <c r="R169" s="301">
        <v>39.67</v>
      </c>
      <c r="S169" s="301">
        <f t="shared" si="105"/>
        <v>340.26</v>
      </c>
      <c r="T169" s="307">
        <f t="shared" si="98"/>
        <v>39.67</v>
      </c>
      <c r="U169" s="475">
        <f t="shared" si="99"/>
        <v>1722.24</v>
      </c>
      <c r="V169" s="475">
        <f t="shared" si="100"/>
        <v>517.28</v>
      </c>
      <c r="W169" s="475">
        <f t="shared" si="101"/>
        <v>2279.19</v>
      </c>
      <c r="X169" s="444">
        <f t="shared" si="102"/>
        <v>52139.27</v>
      </c>
      <c r="Y169" s="444">
        <f t="shared" si="103"/>
        <v>47092.60999999999</v>
      </c>
      <c r="Z169" s="512">
        <f t="shared" si="104"/>
        <v>44853.09</v>
      </c>
      <c r="AB169" s="8">
        <f t="shared" si="94"/>
        <v>157331.16</v>
      </c>
      <c r="AC169" s="8">
        <f t="shared" si="95"/>
        <v>154096.15</v>
      </c>
      <c r="AD169" s="41"/>
    </row>
    <row r="170" spans="1:30" ht="18.75">
      <c r="A170" s="431" t="s">
        <v>13</v>
      </c>
      <c r="B170" s="428">
        <f t="shared" si="89"/>
        <v>55742.100000000035</v>
      </c>
      <c r="C170" s="428">
        <v>29644.07</v>
      </c>
      <c r="D170" s="428">
        <v>29238.56</v>
      </c>
      <c r="E170" s="428"/>
      <c r="F170" s="428">
        <f t="shared" si="90"/>
        <v>56147.610000000044</v>
      </c>
      <c r="G170" s="285">
        <f t="shared" si="91"/>
        <v>3205.7699999999986</v>
      </c>
      <c r="H170" s="1210">
        <v>196.74</v>
      </c>
      <c r="I170" s="1030">
        <v>174.37</v>
      </c>
      <c r="J170" s="285">
        <f t="shared" si="96"/>
        <v>3228.1399999999985</v>
      </c>
      <c r="K170" s="302">
        <f t="shared" si="92"/>
        <v>-1562.25</v>
      </c>
      <c r="L170" s="1210">
        <v>727.77</v>
      </c>
      <c r="M170" s="1030">
        <v>1455.54</v>
      </c>
      <c r="N170" s="302">
        <f t="shared" si="97"/>
        <v>-2290.02</v>
      </c>
      <c r="O170" s="301">
        <f t="shared" si="93"/>
        <v>58.700000000000045</v>
      </c>
      <c r="P170" s="301">
        <v>26.18</v>
      </c>
      <c r="Q170" s="301"/>
      <c r="R170" s="301">
        <v>24.13</v>
      </c>
      <c r="S170" s="301">
        <f t="shared" si="105"/>
        <v>60.75000000000006</v>
      </c>
      <c r="T170" s="307">
        <f t="shared" si="98"/>
        <v>24.13</v>
      </c>
      <c r="U170" s="475">
        <f t="shared" si="99"/>
        <v>1455.54</v>
      </c>
      <c r="V170" s="475">
        <f t="shared" si="100"/>
        <v>174.37</v>
      </c>
      <c r="W170" s="475">
        <f t="shared" si="101"/>
        <v>1654.04</v>
      </c>
      <c r="X170" s="444">
        <f t="shared" si="102"/>
        <v>30594.760000000002</v>
      </c>
      <c r="Y170" s="444">
        <f t="shared" si="103"/>
        <v>30892.600000000002</v>
      </c>
      <c r="Z170" s="512">
        <f t="shared" si="104"/>
        <v>29262.690000000002</v>
      </c>
      <c r="AB170" s="8">
        <f t="shared" si="94"/>
        <v>91882.06</v>
      </c>
      <c r="AC170" s="8">
        <f t="shared" si="95"/>
        <v>92504.03</v>
      </c>
      <c r="AD170" s="41"/>
    </row>
    <row r="171" spans="1:30" ht="18.75">
      <c r="A171" s="431" t="s">
        <v>14</v>
      </c>
      <c r="B171" s="428">
        <f t="shared" si="89"/>
        <v>58392.57000000007</v>
      </c>
      <c r="C171" s="428">
        <v>36574.19</v>
      </c>
      <c r="D171" s="428">
        <v>33560.9</v>
      </c>
      <c r="E171" s="428"/>
      <c r="F171" s="428">
        <f t="shared" si="90"/>
        <v>61405.860000000066</v>
      </c>
      <c r="G171" s="285">
        <f t="shared" si="91"/>
        <v>3945.3199999999997</v>
      </c>
      <c r="H171" s="1210"/>
      <c r="I171" s="1030">
        <v>493.66</v>
      </c>
      <c r="J171" s="285">
        <f t="shared" si="96"/>
        <v>3451.66</v>
      </c>
      <c r="K171" s="302">
        <f t="shared" si="92"/>
        <v>3582.4399999999996</v>
      </c>
      <c r="L171" s="1210">
        <v>2926</v>
      </c>
      <c r="M171" s="1030">
        <v>2964.87</v>
      </c>
      <c r="N171" s="302">
        <f t="shared" si="97"/>
        <v>3543.5699999999997</v>
      </c>
      <c r="O171" s="301">
        <f t="shared" si="93"/>
        <v>-216.78000000000003</v>
      </c>
      <c r="P171" s="301">
        <v>3.06</v>
      </c>
      <c r="Q171" s="301"/>
      <c r="R171" s="301">
        <v>0</v>
      </c>
      <c r="S171" s="301">
        <f t="shared" si="105"/>
        <v>-213.72000000000003</v>
      </c>
      <c r="T171" s="307">
        <f t="shared" si="98"/>
        <v>0</v>
      </c>
      <c r="U171" s="475">
        <f t="shared" si="99"/>
        <v>2964.87</v>
      </c>
      <c r="V171" s="475">
        <f t="shared" si="100"/>
        <v>493.66</v>
      </c>
      <c r="W171" s="475">
        <f t="shared" si="101"/>
        <v>3458.5299999999997</v>
      </c>
      <c r="X171" s="444">
        <f t="shared" si="102"/>
        <v>39503.25</v>
      </c>
      <c r="Y171" s="444">
        <f>D171+I171+M171+R171</f>
        <v>37019.43000000001</v>
      </c>
      <c r="Z171" s="512">
        <f t="shared" si="104"/>
        <v>33560.9</v>
      </c>
      <c r="AB171" s="8">
        <f t="shared" si="94"/>
        <v>118578.68000000001</v>
      </c>
      <c r="AC171" s="8">
        <f t="shared" si="95"/>
        <v>123824.09000000001</v>
      </c>
      <c r="AD171" s="41"/>
    </row>
    <row r="172" spans="1:30" ht="18.75">
      <c r="A172" s="431" t="s">
        <v>55</v>
      </c>
      <c r="B172" s="428">
        <f t="shared" si="89"/>
        <v>38453</v>
      </c>
      <c r="C172" s="428">
        <v>16275.19</v>
      </c>
      <c r="D172" s="428">
        <v>16135.98</v>
      </c>
      <c r="E172" s="428"/>
      <c r="F172" s="428">
        <f t="shared" si="90"/>
        <v>38592.21000000001</v>
      </c>
      <c r="G172" s="285">
        <f t="shared" si="91"/>
        <v>3224.9000000000005</v>
      </c>
      <c r="H172" s="1210">
        <v>209.3</v>
      </c>
      <c r="I172" s="1030">
        <v>185.5</v>
      </c>
      <c r="J172" s="285">
        <f t="shared" si="96"/>
        <v>3248.7000000000007</v>
      </c>
      <c r="K172" s="302">
        <f t="shared" si="92"/>
        <v>2682.4900000000025</v>
      </c>
      <c r="L172" s="1210">
        <v>773.21</v>
      </c>
      <c r="M172" s="1030">
        <v>2387.2</v>
      </c>
      <c r="N172" s="302">
        <f t="shared" si="97"/>
        <v>1068.5000000000027</v>
      </c>
      <c r="O172" s="301">
        <f t="shared" si="93"/>
        <v>-763.87</v>
      </c>
      <c r="P172" s="301"/>
      <c r="Q172" s="301"/>
      <c r="R172" s="301"/>
      <c r="S172" s="301">
        <f t="shared" si="105"/>
        <v>-763.87</v>
      </c>
      <c r="T172" s="307">
        <f t="shared" si="98"/>
        <v>0</v>
      </c>
      <c r="U172" s="475">
        <f t="shared" si="99"/>
        <v>2387.2</v>
      </c>
      <c r="V172" s="475">
        <f t="shared" si="100"/>
        <v>185.5</v>
      </c>
      <c r="W172" s="475">
        <f t="shared" si="101"/>
        <v>2572.7</v>
      </c>
      <c r="X172" s="444">
        <f t="shared" si="102"/>
        <v>17257.7</v>
      </c>
      <c r="Y172" s="444">
        <f t="shared" si="103"/>
        <v>18708.68</v>
      </c>
      <c r="Z172" s="512">
        <f t="shared" si="104"/>
        <v>16135.98</v>
      </c>
      <c r="AB172" s="8">
        <f t="shared" si="94"/>
        <v>51778.509999999995</v>
      </c>
      <c r="AC172" s="8">
        <f t="shared" si="95"/>
        <v>47698.49999999999</v>
      </c>
      <c r="AD172" s="41"/>
    </row>
    <row r="173" spans="1:30" ht="18.75">
      <c r="A173" s="431" t="s">
        <v>15</v>
      </c>
      <c r="B173" s="428">
        <f t="shared" si="89"/>
        <v>114730.58000000034</v>
      </c>
      <c r="C173" s="428">
        <v>39158.89</v>
      </c>
      <c r="D173" s="448">
        <v>39136.47</v>
      </c>
      <c r="E173" s="448"/>
      <c r="F173" s="428">
        <f t="shared" si="90"/>
        <v>114753.00000000032</v>
      </c>
      <c r="G173" s="285">
        <f t="shared" si="91"/>
        <v>0</v>
      </c>
      <c r="H173" s="1210"/>
      <c r="I173" s="1030"/>
      <c r="J173" s="285">
        <f t="shared" si="96"/>
        <v>0</v>
      </c>
      <c r="K173" s="302">
        <f t="shared" si="92"/>
        <v>5138.5</v>
      </c>
      <c r="L173" s="1210">
        <v>2209.01</v>
      </c>
      <c r="M173" s="1030"/>
      <c r="N173" s="302">
        <f t="shared" si="97"/>
        <v>7347.51</v>
      </c>
      <c r="O173" s="301">
        <f t="shared" si="93"/>
        <v>433.83999999999975</v>
      </c>
      <c r="P173" s="301">
        <v>118.49</v>
      </c>
      <c r="Q173" s="301"/>
      <c r="R173" s="301">
        <v>110.77</v>
      </c>
      <c r="S173" s="301">
        <f t="shared" si="105"/>
        <v>441.5599999999997</v>
      </c>
      <c r="T173" s="307">
        <f t="shared" si="98"/>
        <v>110.77</v>
      </c>
      <c r="U173" s="475">
        <f t="shared" si="99"/>
        <v>0</v>
      </c>
      <c r="V173" s="475">
        <f t="shared" si="100"/>
        <v>0</v>
      </c>
      <c r="W173" s="475">
        <f t="shared" si="101"/>
        <v>110.77</v>
      </c>
      <c r="X173" s="444">
        <f t="shared" si="102"/>
        <v>41486.39</v>
      </c>
      <c r="Y173" s="444">
        <f t="shared" si="103"/>
        <v>39247.24</v>
      </c>
      <c r="Z173" s="512">
        <f t="shared" si="104"/>
        <v>39247.24</v>
      </c>
      <c r="AB173" s="8">
        <f t="shared" si="94"/>
        <v>124555.88</v>
      </c>
      <c r="AC173" s="8">
        <f t="shared" si="95"/>
        <v>121231.45999999999</v>
      </c>
      <c r="AD173" s="41"/>
    </row>
    <row r="174" spans="1:30" ht="18.75">
      <c r="A174" s="431" t="s">
        <v>16</v>
      </c>
      <c r="B174" s="428">
        <f t="shared" si="89"/>
        <v>33927.96000000009</v>
      </c>
      <c r="C174" s="428">
        <v>31868.05</v>
      </c>
      <c r="D174" s="448">
        <v>27935.72</v>
      </c>
      <c r="E174" s="448"/>
      <c r="F174" s="428">
        <f t="shared" si="90"/>
        <v>37860.29000000008</v>
      </c>
      <c r="G174" s="285">
        <f t="shared" si="91"/>
        <v>0</v>
      </c>
      <c r="H174" s="1210"/>
      <c r="I174" s="1030"/>
      <c r="J174" s="285">
        <f t="shared" si="96"/>
        <v>0</v>
      </c>
      <c r="K174" s="302">
        <f t="shared" si="92"/>
        <v>1492.1800000000019</v>
      </c>
      <c r="L174" s="1210">
        <v>328.3</v>
      </c>
      <c r="M174" s="1030"/>
      <c r="N174" s="302">
        <f t="shared" si="97"/>
        <v>1820.4800000000018</v>
      </c>
      <c r="O174" s="301">
        <f t="shared" si="93"/>
        <v>133.56</v>
      </c>
      <c r="P174" s="301">
        <v>1.52</v>
      </c>
      <c r="Q174" s="301"/>
      <c r="R174" s="301">
        <v>1.52</v>
      </c>
      <c r="S174" s="301">
        <f t="shared" si="105"/>
        <v>133.56</v>
      </c>
      <c r="T174" s="307">
        <f t="shared" si="98"/>
        <v>1.52</v>
      </c>
      <c r="U174" s="475">
        <f t="shared" si="99"/>
        <v>0</v>
      </c>
      <c r="V174" s="475">
        <f t="shared" si="100"/>
        <v>0</v>
      </c>
      <c r="W174" s="475">
        <f t="shared" si="101"/>
        <v>1.52</v>
      </c>
      <c r="X174" s="444">
        <f t="shared" si="102"/>
        <v>32197.87</v>
      </c>
      <c r="Y174" s="444">
        <f t="shared" si="103"/>
        <v>27937.24</v>
      </c>
      <c r="Z174" s="512">
        <f t="shared" si="104"/>
        <v>27937.24</v>
      </c>
      <c r="AB174" s="8">
        <f t="shared" si="94"/>
        <v>96650.44</v>
      </c>
      <c r="AC174" s="8">
        <f t="shared" si="95"/>
        <v>93736</v>
      </c>
      <c r="AD174" s="41"/>
    </row>
    <row r="175" spans="1:30" ht="18.75">
      <c r="A175" s="431" t="s">
        <v>17</v>
      </c>
      <c r="B175" s="428">
        <f t="shared" si="89"/>
        <v>63979.320000000305</v>
      </c>
      <c r="C175" s="428">
        <v>41492.76</v>
      </c>
      <c r="D175" s="428">
        <v>42470.22</v>
      </c>
      <c r="E175" s="428"/>
      <c r="F175" s="428">
        <f t="shared" si="90"/>
        <v>63001.860000000306</v>
      </c>
      <c r="G175" s="285">
        <f t="shared" si="91"/>
        <v>6403.7300000000005</v>
      </c>
      <c r="H175" s="1210">
        <v>415.61</v>
      </c>
      <c r="I175" s="1030">
        <v>368.35</v>
      </c>
      <c r="J175" s="285">
        <f t="shared" si="96"/>
        <v>6450.99</v>
      </c>
      <c r="K175" s="302">
        <f t="shared" si="92"/>
        <v>1318.6299999999997</v>
      </c>
      <c r="L175" s="1210">
        <v>699.06</v>
      </c>
      <c r="M175" s="1030">
        <v>699.06</v>
      </c>
      <c r="N175" s="302">
        <f t="shared" si="97"/>
        <v>1318.6299999999997</v>
      </c>
      <c r="O175" s="301">
        <f t="shared" si="93"/>
        <v>79.28000000000003</v>
      </c>
      <c r="P175" s="301">
        <v>103.38</v>
      </c>
      <c r="Q175" s="301"/>
      <c r="R175" s="301">
        <v>102.3</v>
      </c>
      <c r="S175" s="301">
        <f t="shared" si="105"/>
        <v>80.36000000000003</v>
      </c>
      <c r="T175" s="307">
        <f t="shared" si="98"/>
        <v>102.3</v>
      </c>
      <c r="U175" s="738">
        <f t="shared" si="99"/>
        <v>699.06</v>
      </c>
      <c r="V175" s="475">
        <f t="shared" si="100"/>
        <v>368.35</v>
      </c>
      <c r="W175" s="475">
        <f t="shared" si="101"/>
        <v>1169.71</v>
      </c>
      <c r="X175" s="444">
        <f t="shared" si="102"/>
        <v>42710.81</v>
      </c>
      <c r="Y175" s="444">
        <f t="shared" si="103"/>
        <v>43639.93</v>
      </c>
      <c r="Z175" s="512">
        <f t="shared" si="104"/>
        <v>42572.520000000004</v>
      </c>
      <c r="AB175" s="8">
        <f t="shared" si="94"/>
        <v>127969.25</v>
      </c>
      <c r="AC175" s="8">
        <f t="shared" si="95"/>
        <v>124603.02</v>
      </c>
      <c r="AD175" s="41"/>
    </row>
    <row r="176" spans="1:30" ht="18.75">
      <c r="A176" s="431" t="s">
        <v>18</v>
      </c>
      <c r="B176" s="428">
        <f t="shared" si="89"/>
        <v>158434.79000000004</v>
      </c>
      <c r="C176" s="428">
        <v>88445.42</v>
      </c>
      <c r="D176" s="428">
        <v>81668.29</v>
      </c>
      <c r="E176" s="428"/>
      <c r="F176" s="428">
        <f t="shared" si="90"/>
        <v>165211.92000000004</v>
      </c>
      <c r="G176" s="285">
        <f t="shared" si="91"/>
        <v>840.0499999999986</v>
      </c>
      <c r="H176" s="1210"/>
      <c r="I176" s="1030">
        <v>347.68</v>
      </c>
      <c r="J176" s="285">
        <f t="shared" si="96"/>
        <v>492.3699999999986</v>
      </c>
      <c r="K176" s="302">
        <f t="shared" si="92"/>
        <v>2599.6099999999988</v>
      </c>
      <c r="L176" s="1210">
        <v>2704.79</v>
      </c>
      <c r="M176" s="1030">
        <v>2511.01</v>
      </c>
      <c r="N176" s="302">
        <f t="shared" si="97"/>
        <v>2793.3899999999985</v>
      </c>
      <c r="O176" s="301">
        <f t="shared" si="93"/>
        <v>698.1800000000001</v>
      </c>
      <c r="P176" s="301">
        <v>4.05</v>
      </c>
      <c r="Q176" s="301"/>
      <c r="R176" s="301">
        <v>19.71</v>
      </c>
      <c r="S176" s="301">
        <f t="shared" si="105"/>
        <v>682.52</v>
      </c>
      <c r="T176" s="307">
        <f t="shared" si="98"/>
        <v>19.71</v>
      </c>
      <c r="U176" s="475">
        <f t="shared" si="99"/>
        <v>2511.01</v>
      </c>
      <c r="V176" s="475">
        <f t="shared" si="100"/>
        <v>347.68</v>
      </c>
      <c r="W176" s="475">
        <f t="shared" si="101"/>
        <v>2878.4</v>
      </c>
      <c r="X176" s="444">
        <f t="shared" si="102"/>
        <v>91154.26</v>
      </c>
      <c r="Y176" s="444">
        <f t="shared" si="103"/>
        <v>84546.68999999999</v>
      </c>
      <c r="Z176" s="512">
        <f t="shared" si="104"/>
        <v>81688</v>
      </c>
      <c r="AB176" s="8">
        <f t="shared" si="94"/>
        <v>274256.94</v>
      </c>
      <c r="AC176" s="8">
        <f t="shared" si="95"/>
        <v>281575.64</v>
      </c>
      <c r="AD176" s="41"/>
    </row>
    <row r="177" spans="1:30" ht="18.75">
      <c r="A177" s="431" t="s">
        <v>54</v>
      </c>
      <c r="B177" s="428">
        <f t="shared" si="89"/>
        <v>59864.35000000036</v>
      </c>
      <c r="C177" s="428">
        <v>37931.1</v>
      </c>
      <c r="D177" s="428">
        <v>39529.5</v>
      </c>
      <c r="E177" s="428"/>
      <c r="F177" s="428">
        <f t="shared" si="90"/>
        <v>58265.95000000036</v>
      </c>
      <c r="G177" s="285">
        <f t="shared" si="91"/>
        <v>5453.650000000002</v>
      </c>
      <c r="H177" s="1210">
        <v>295.41</v>
      </c>
      <c r="I177" s="1030">
        <v>442.02</v>
      </c>
      <c r="J177" s="285">
        <f t="shared" si="96"/>
        <v>5307.040000000003</v>
      </c>
      <c r="K177" s="302">
        <f t="shared" si="92"/>
        <v>0</v>
      </c>
      <c r="L177" s="1210"/>
      <c r="M177" s="1030"/>
      <c r="N177" s="302">
        <f t="shared" si="97"/>
        <v>0</v>
      </c>
      <c r="O177" s="301">
        <f t="shared" si="93"/>
        <v>-1081.93</v>
      </c>
      <c r="P177" s="301">
        <v>23.71</v>
      </c>
      <c r="Q177" s="301"/>
      <c r="R177" s="301">
        <v>56.91</v>
      </c>
      <c r="S177" s="301">
        <f t="shared" si="105"/>
        <v>-1115.13</v>
      </c>
      <c r="T177" s="307">
        <f t="shared" si="98"/>
        <v>56.91</v>
      </c>
      <c r="U177" s="475">
        <f t="shared" si="99"/>
        <v>0</v>
      </c>
      <c r="V177" s="475">
        <f t="shared" si="100"/>
        <v>442.02</v>
      </c>
      <c r="W177" s="475">
        <f t="shared" si="101"/>
        <v>498.92999999999995</v>
      </c>
      <c r="X177" s="444">
        <f t="shared" si="102"/>
        <v>38250.22</v>
      </c>
      <c r="Y177" s="444">
        <f t="shared" si="103"/>
        <v>40028.43</v>
      </c>
      <c r="Z177" s="512">
        <f t="shared" si="104"/>
        <v>39586.41</v>
      </c>
      <c r="AB177" s="8">
        <f t="shared" si="94"/>
        <v>114770.19</v>
      </c>
      <c r="AC177" s="8">
        <f t="shared" si="95"/>
        <v>114983.21</v>
      </c>
      <c r="AD177" s="41"/>
    </row>
    <row r="178" spans="1:30" ht="18.75">
      <c r="A178" s="431" t="s">
        <v>49</v>
      </c>
      <c r="B178" s="428">
        <f t="shared" si="89"/>
        <v>207063.88000000012</v>
      </c>
      <c r="C178" s="428">
        <v>80671.41</v>
      </c>
      <c r="D178" s="428">
        <v>76409</v>
      </c>
      <c r="E178" s="428"/>
      <c r="F178" s="428">
        <f t="shared" si="90"/>
        <v>211326.29000000015</v>
      </c>
      <c r="G178" s="285">
        <f t="shared" si="91"/>
        <v>14208.000000000004</v>
      </c>
      <c r="H178" s="1210">
        <v>922.12</v>
      </c>
      <c r="I178" s="1030">
        <v>817.26</v>
      </c>
      <c r="J178" s="285">
        <f t="shared" si="96"/>
        <v>14312.860000000004</v>
      </c>
      <c r="K178" s="302">
        <f t="shared" si="92"/>
        <v>5412.660000000004</v>
      </c>
      <c r="L178" s="1210">
        <v>3411.59</v>
      </c>
      <c r="M178" s="1030">
        <v>3861.29</v>
      </c>
      <c r="N178" s="302">
        <f t="shared" si="97"/>
        <v>4962.960000000004</v>
      </c>
      <c r="O178" s="301">
        <f t="shared" si="93"/>
        <v>-837.1800000000001</v>
      </c>
      <c r="P178" s="301">
        <v>59.74</v>
      </c>
      <c r="Q178" s="301"/>
      <c r="R178" s="301">
        <v>59.23</v>
      </c>
      <c r="S178" s="301">
        <f t="shared" si="105"/>
        <v>-836.6700000000001</v>
      </c>
      <c r="T178" s="307">
        <f t="shared" si="98"/>
        <v>59.23</v>
      </c>
      <c r="U178" s="475">
        <f t="shared" si="99"/>
        <v>3861.29</v>
      </c>
      <c r="V178" s="475">
        <f t="shared" si="100"/>
        <v>817.26</v>
      </c>
      <c r="W178" s="475">
        <f t="shared" si="101"/>
        <v>4737.78</v>
      </c>
      <c r="X178" s="444">
        <f t="shared" si="102"/>
        <v>85064.86</v>
      </c>
      <c r="Y178" s="444">
        <f t="shared" si="103"/>
        <v>81146.77999999998</v>
      </c>
      <c r="Z178" s="512">
        <f t="shared" si="104"/>
        <v>76468.23</v>
      </c>
      <c r="AB178" s="8">
        <f t="shared" si="94"/>
        <v>255966.21999999997</v>
      </c>
      <c r="AC178" s="8">
        <f t="shared" si="95"/>
        <v>244261.98</v>
      </c>
      <c r="AD178" s="41"/>
    </row>
    <row r="179" spans="1:30" ht="18.75">
      <c r="A179" s="431" t="s">
        <v>19</v>
      </c>
      <c r="B179" s="428">
        <f t="shared" si="89"/>
        <v>100172.77999999996</v>
      </c>
      <c r="C179" s="428">
        <v>59520.68</v>
      </c>
      <c r="D179" s="428">
        <v>62143.94</v>
      </c>
      <c r="E179" s="428"/>
      <c r="F179" s="428">
        <f t="shared" si="90"/>
        <v>97549.51999999996</v>
      </c>
      <c r="G179" s="285">
        <f t="shared" si="91"/>
        <v>6606.579999999997</v>
      </c>
      <c r="H179" s="1210">
        <v>402.45</v>
      </c>
      <c r="I179" s="1030">
        <v>356.69</v>
      </c>
      <c r="J179" s="285">
        <f t="shared" si="96"/>
        <v>6652.339999999997</v>
      </c>
      <c r="K179" s="302">
        <f t="shared" si="92"/>
        <v>1116.230000000001</v>
      </c>
      <c r="L179" s="1210">
        <v>1175.67</v>
      </c>
      <c r="M179" s="1030">
        <v>1097.34</v>
      </c>
      <c r="N179" s="302">
        <f t="shared" si="97"/>
        <v>1194.560000000001</v>
      </c>
      <c r="O179" s="301">
        <f t="shared" si="93"/>
        <v>-125.86999999999965</v>
      </c>
      <c r="P179" s="301">
        <v>9.52</v>
      </c>
      <c r="Q179" s="301"/>
      <c r="R179" s="301">
        <v>14.91</v>
      </c>
      <c r="S179" s="301">
        <f t="shared" si="105"/>
        <v>-131.25999999999965</v>
      </c>
      <c r="T179" s="307">
        <f t="shared" si="98"/>
        <v>14.91</v>
      </c>
      <c r="U179" s="738">
        <f t="shared" si="99"/>
        <v>1097.34</v>
      </c>
      <c r="V179" s="475">
        <f t="shared" si="100"/>
        <v>356.69</v>
      </c>
      <c r="W179" s="475">
        <f t="shared" si="101"/>
        <v>1468.94</v>
      </c>
      <c r="X179" s="444">
        <f t="shared" si="102"/>
        <v>61108.31999999999</v>
      </c>
      <c r="Y179" s="444">
        <f t="shared" si="103"/>
        <v>63612.880000000005</v>
      </c>
      <c r="Z179" s="512">
        <f t="shared" si="104"/>
        <v>62158.850000000006</v>
      </c>
      <c r="AB179" s="8">
        <f t="shared" si="94"/>
        <v>183359.43</v>
      </c>
      <c r="AC179" s="8">
        <f t="shared" si="95"/>
        <v>184124.8</v>
      </c>
      <c r="AD179" s="41"/>
    </row>
    <row r="180" spans="1:30" ht="18.75">
      <c r="A180" s="431" t="s">
        <v>20</v>
      </c>
      <c r="B180" s="428">
        <f t="shared" si="89"/>
        <v>66335.04000000008</v>
      </c>
      <c r="C180" s="428">
        <v>38671.41</v>
      </c>
      <c r="D180" s="428">
        <v>35939.25</v>
      </c>
      <c r="E180" s="428"/>
      <c r="F180" s="428">
        <f t="shared" si="90"/>
        <v>69067.20000000008</v>
      </c>
      <c r="G180" s="285">
        <f t="shared" si="91"/>
        <v>0</v>
      </c>
      <c r="H180" s="1211"/>
      <c r="I180" s="1030"/>
      <c r="J180" s="285">
        <f t="shared" si="96"/>
        <v>0</v>
      </c>
      <c r="K180" s="302">
        <f t="shared" si="92"/>
        <v>4032.0699999999997</v>
      </c>
      <c r="L180" s="1211">
        <v>777.4</v>
      </c>
      <c r="M180" s="1030">
        <v>689</v>
      </c>
      <c r="N180" s="302">
        <f t="shared" si="97"/>
        <v>4120.469999999999</v>
      </c>
      <c r="O180" s="301">
        <f t="shared" si="93"/>
        <v>104.58999999999995</v>
      </c>
      <c r="P180" s="301">
        <v>15.72</v>
      </c>
      <c r="Q180" s="301"/>
      <c r="R180" s="301">
        <v>14.82</v>
      </c>
      <c r="S180" s="301">
        <f t="shared" si="105"/>
        <v>105.48999999999995</v>
      </c>
      <c r="T180" s="307">
        <f t="shared" si="98"/>
        <v>14.82</v>
      </c>
      <c r="U180" s="475">
        <f t="shared" si="99"/>
        <v>689</v>
      </c>
      <c r="V180" s="475">
        <f t="shared" si="100"/>
        <v>0</v>
      </c>
      <c r="W180" s="475">
        <f t="shared" si="101"/>
        <v>703.82</v>
      </c>
      <c r="X180" s="444">
        <f t="shared" si="102"/>
        <v>39464.530000000006</v>
      </c>
      <c r="Y180" s="444">
        <f t="shared" si="103"/>
        <v>36643.07</v>
      </c>
      <c r="Z180" s="512">
        <f t="shared" si="104"/>
        <v>35954.07</v>
      </c>
      <c r="AB180" s="8">
        <f t="shared" si="94"/>
        <v>118457.78000000003</v>
      </c>
      <c r="AC180" s="8">
        <f t="shared" si="95"/>
        <v>119852.26999999999</v>
      </c>
      <c r="AD180" s="41"/>
    </row>
    <row r="181" spans="1:30" ht="18.75">
      <c r="A181" s="431" t="s">
        <v>114</v>
      </c>
      <c r="B181" s="428">
        <f t="shared" si="89"/>
        <v>-442964.5400000005</v>
      </c>
      <c r="C181" s="428">
        <v>57972.3</v>
      </c>
      <c r="D181" s="428">
        <v>50827.42</v>
      </c>
      <c r="E181" s="428"/>
      <c r="F181" s="428">
        <f t="shared" si="90"/>
        <v>-435819.6600000005</v>
      </c>
      <c r="G181" s="285">
        <f t="shared" si="91"/>
        <v>1178.28</v>
      </c>
      <c r="H181" s="1212">
        <v>303.19</v>
      </c>
      <c r="I181" s="1030">
        <v>268.71</v>
      </c>
      <c r="J181" s="285">
        <f t="shared" si="96"/>
        <v>1212.76</v>
      </c>
      <c r="K181" s="302">
        <f t="shared" si="92"/>
        <v>1603.8400000000001</v>
      </c>
      <c r="L181" s="1212">
        <v>1603.84</v>
      </c>
      <c r="M181" s="1030">
        <v>3207.68</v>
      </c>
      <c r="N181" s="302">
        <f t="shared" si="97"/>
        <v>0</v>
      </c>
      <c r="O181" s="301">
        <f t="shared" si="93"/>
        <v>-32.55000000000001</v>
      </c>
      <c r="P181" s="301">
        <v>80.29</v>
      </c>
      <c r="Q181" s="301"/>
      <c r="R181" s="301">
        <v>86.7</v>
      </c>
      <c r="S181" s="301">
        <f t="shared" si="105"/>
        <v>-38.96000000000001</v>
      </c>
      <c r="T181" s="307">
        <f t="shared" si="98"/>
        <v>86.7</v>
      </c>
      <c r="U181" s="475">
        <f t="shared" si="99"/>
        <v>3207.68</v>
      </c>
      <c r="V181" s="475">
        <f t="shared" si="100"/>
        <v>268.71</v>
      </c>
      <c r="W181" s="475">
        <f t="shared" si="101"/>
        <v>3563.0899999999997</v>
      </c>
      <c r="X181" s="444">
        <f t="shared" si="102"/>
        <v>59959.62</v>
      </c>
      <c r="Y181" s="444">
        <f t="shared" si="103"/>
        <v>54390.509999999995</v>
      </c>
      <c r="Z181" s="512">
        <f t="shared" si="104"/>
        <v>50914.119999999995</v>
      </c>
      <c r="AB181" s="8">
        <f t="shared" si="94"/>
        <v>158267.22</v>
      </c>
      <c r="AC181" s="8">
        <f t="shared" si="95"/>
        <v>149179.71</v>
      </c>
      <c r="AD181" s="41"/>
    </row>
    <row r="182" spans="1:30" ht="24" customHeight="1">
      <c r="A182" s="431" t="s">
        <v>124</v>
      </c>
      <c r="B182" s="428">
        <f t="shared" si="89"/>
        <v>22441.059999999936</v>
      </c>
      <c r="C182" s="428">
        <v>16815.18</v>
      </c>
      <c r="D182" s="428">
        <v>16513.92</v>
      </c>
      <c r="E182" s="428"/>
      <c r="F182" s="428">
        <f t="shared" si="90"/>
        <v>22742.319999999934</v>
      </c>
      <c r="G182" s="285">
        <f t="shared" si="91"/>
        <v>0</v>
      </c>
      <c r="H182" s="1213"/>
      <c r="I182" s="1030"/>
      <c r="J182" s="285">
        <f t="shared" si="96"/>
        <v>0</v>
      </c>
      <c r="K182" s="302">
        <f t="shared" si="92"/>
        <v>0</v>
      </c>
      <c r="L182" s="1213"/>
      <c r="M182" s="1030"/>
      <c r="N182" s="302">
        <f t="shared" si="97"/>
        <v>0</v>
      </c>
      <c r="O182" s="301">
        <f t="shared" si="93"/>
        <v>-9.09000000000001</v>
      </c>
      <c r="P182" s="301">
        <v>42.38</v>
      </c>
      <c r="Q182" s="301"/>
      <c r="R182" s="301">
        <v>42.65</v>
      </c>
      <c r="S182" s="301">
        <f t="shared" si="105"/>
        <v>-9.360000000000007</v>
      </c>
      <c r="T182" s="307">
        <f t="shared" si="98"/>
        <v>42.65</v>
      </c>
      <c r="U182" s="475">
        <f t="shared" si="99"/>
        <v>0</v>
      </c>
      <c r="V182" s="475">
        <f t="shared" si="100"/>
        <v>0</v>
      </c>
      <c r="W182" s="475">
        <f t="shared" si="101"/>
        <v>42.65</v>
      </c>
      <c r="X182" s="444">
        <f t="shared" si="102"/>
        <v>16857.56</v>
      </c>
      <c r="Y182" s="444">
        <f t="shared" si="103"/>
        <v>16556.57</v>
      </c>
      <c r="Z182" s="512">
        <f t="shared" si="104"/>
        <v>16556.57</v>
      </c>
      <c r="AB182" s="8">
        <f t="shared" si="94"/>
        <v>50561.05</v>
      </c>
      <c r="AC182" s="8">
        <f t="shared" si="95"/>
        <v>52500.170000000006</v>
      </c>
      <c r="AD182" s="41"/>
    </row>
    <row r="183" spans="1:30" ht="18.75">
      <c r="A183" s="708" t="s">
        <v>188</v>
      </c>
      <c r="B183" s="428">
        <f t="shared" si="89"/>
        <v>27289.38999999994</v>
      </c>
      <c r="C183" s="702">
        <v>44631.44</v>
      </c>
      <c r="D183" s="702">
        <v>48954.89</v>
      </c>
      <c r="E183" s="450"/>
      <c r="F183" s="428">
        <f t="shared" si="90"/>
        <v>22965.939999999944</v>
      </c>
      <c r="G183" s="285">
        <f t="shared" si="91"/>
        <v>3858.8999999999996</v>
      </c>
      <c r="H183" s="1213">
        <v>382.12</v>
      </c>
      <c r="I183" s="1030"/>
      <c r="J183" s="285">
        <f t="shared" si="96"/>
        <v>4241.0199999999995</v>
      </c>
      <c r="K183" s="302">
        <f t="shared" si="92"/>
        <v>-9383.259999999998</v>
      </c>
      <c r="L183" s="1213">
        <v>1649.28</v>
      </c>
      <c r="M183" s="1030">
        <v>47141.05</v>
      </c>
      <c r="N183" s="302">
        <f t="shared" si="97"/>
        <v>-54875.03</v>
      </c>
      <c r="O183" s="301">
        <f t="shared" si="93"/>
        <v>-4848.030000000001</v>
      </c>
      <c r="P183" s="637">
        <v>57.2</v>
      </c>
      <c r="Q183" s="637"/>
      <c r="R183" s="637">
        <v>57.2</v>
      </c>
      <c r="S183" s="301">
        <f t="shared" si="105"/>
        <v>-4848.030000000001</v>
      </c>
      <c r="T183" s="307">
        <f t="shared" si="98"/>
        <v>57.2</v>
      </c>
      <c r="U183" s="475">
        <f t="shared" si="99"/>
        <v>47141.05</v>
      </c>
      <c r="V183" s="475">
        <f t="shared" si="100"/>
        <v>0</v>
      </c>
      <c r="W183" s="475">
        <f t="shared" si="101"/>
        <v>47198.25</v>
      </c>
      <c r="X183" s="444">
        <f t="shared" si="102"/>
        <v>46720.04</v>
      </c>
      <c r="Y183" s="444">
        <f t="shared" si="103"/>
        <v>96153.14</v>
      </c>
      <c r="Z183" s="512">
        <f t="shared" si="104"/>
        <v>49012.09</v>
      </c>
      <c r="AB183" s="8">
        <f t="shared" si="94"/>
        <v>140120.88</v>
      </c>
      <c r="AC183" s="8">
        <f t="shared" si="95"/>
        <v>147843.53999999998</v>
      </c>
      <c r="AD183" s="41"/>
    </row>
    <row r="184" spans="1:30" ht="24" customHeight="1">
      <c r="A184" s="708" t="s">
        <v>189</v>
      </c>
      <c r="B184" s="428">
        <f t="shared" si="89"/>
        <v>83966.00000000003</v>
      </c>
      <c r="C184" s="702">
        <v>51798.79</v>
      </c>
      <c r="D184" s="702">
        <v>48630.57</v>
      </c>
      <c r="E184" s="450"/>
      <c r="F184" s="428">
        <f t="shared" si="90"/>
        <v>87134.22000000003</v>
      </c>
      <c r="G184" s="285">
        <f t="shared" si="91"/>
        <v>14500.52</v>
      </c>
      <c r="H184" s="1213">
        <v>2127.68</v>
      </c>
      <c r="I184" s="1030"/>
      <c r="J184" s="285">
        <f t="shared" si="96"/>
        <v>16628.2</v>
      </c>
      <c r="K184" s="302">
        <f t="shared" si="92"/>
        <v>-13894.029999999999</v>
      </c>
      <c r="L184" s="1213">
        <v>791.15</v>
      </c>
      <c r="M184" s="1030">
        <v>701.19</v>
      </c>
      <c r="N184" s="302">
        <f t="shared" si="97"/>
        <v>-13804.07</v>
      </c>
      <c r="O184" s="301">
        <f t="shared" si="93"/>
        <v>-46783.65999999999</v>
      </c>
      <c r="P184" s="637">
        <v>81.16</v>
      </c>
      <c r="Q184" s="637"/>
      <c r="R184" s="637">
        <v>79.49</v>
      </c>
      <c r="S184" s="301">
        <f t="shared" si="105"/>
        <v>-46781.98999999998</v>
      </c>
      <c r="T184" s="307">
        <f t="shared" si="98"/>
        <v>79.49</v>
      </c>
      <c r="U184" s="475">
        <f t="shared" si="99"/>
        <v>701.19</v>
      </c>
      <c r="V184" s="475">
        <f t="shared" si="100"/>
        <v>0</v>
      </c>
      <c r="W184" s="475">
        <f t="shared" si="101"/>
        <v>780.6800000000001</v>
      </c>
      <c r="X184" s="444">
        <f t="shared" si="102"/>
        <v>54798.780000000006</v>
      </c>
      <c r="Y184" s="444">
        <f t="shared" si="103"/>
        <v>49411.25</v>
      </c>
      <c r="Z184" s="512">
        <f t="shared" si="104"/>
        <v>48710.06</v>
      </c>
      <c r="AB184" s="8">
        <f t="shared" si="94"/>
        <v>166767.31</v>
      </c>
      <c r="AC184" s="8">
        <f t="shared" si="95"/>
        <v>156910.87</v>
      </c>
      <c r="AD184" s="41"/>
    </row>
    <row r="185" spans="1:30" ht="24" customHeight="1">
      <c r="A185" s="709" t="s">
        <v>251</v>
      </c>
      <c r="B185" s="428">
        <f t="shared" si="89"/>
        <v>112637.94000000003</v>
      </c>
      <c r="C185" s="702">
        <v>47756.29</v>
      </c>
      <c r="D185" s="702">
        <v>54273.45</v>
      </c>
      <c r="E185" s="450"/>
      <c r="F185" s="428">
        <f t="shared" si="90"/>
        <v>106120.78000000004</v>
      </c>
      <c r="G185" s="285">
        <f t="shared" si="91"/>
        <v>0</v>
      </c>
      <c r="H185" s="1213"/>
      <c r="I185" s="1030"/>
      <c r="J185" s="285">
        <f t="shared" si="96"/>
        <v>0</v>
      </c>
      <c r="K185" s="302">
        <f t="shared" si="92"/>
        <v>-62945.81</v>
      </c>
      <c r="L185" s="1213"/>
      <c r="M185" s="1030"/>
      <c r="N185" s="302">
        <f t="shared" si="97"/>
        <v>-62945.81</v>
      </c>
      <c r="O185" s="301">
        <f t="shared" si="93"/>
        <v>-59177.08000000001</v>
      </c>
      <c r="P185" s="637">
        <v>28.65</v>
      </c>
      <c r="Q185" s="637"/>
      <c r="R185" s="637">
        <f>31.98+1196.58</f>
        <v>1228.56</v>
      </c>
      <c r="S185" s="301">
        <f t="shared" si="105"/>
        <v>-60376.990000000005</v>
      </c>
      <c r="T185" s="307">
        <f t="shared" si="98"/>
        <v>1228.56</v>
      </c>
      <c r="U185" s="475">
        <f t="shared" si="99"/>
        <v>0</v>
      </c>
      <c r="V185" s="475">
        <f t="shared" si="100"/>
        <v>0</v>
      </c>
      <c r="W185" s="475">
        <f t="shared" si="101"/>
        <v>1228.56</v>
      </c>
      <c r="X185" s="444">
        <f t="shared" si="102"/>
        <v>47784.94</v>
      </c>
      <c r="Y185" s="444">
        <f t="shared" si="103"/>
        <v>55502.009999999995</v>
      </c>
      <c r="Z185" s="512">
        <f t="shared" si="104"/>
        <v>55502.009999999995</v>
      </c>
      <c r="AB185" s="8">
        <f t="shared" si="94"/>
        <v>145515.89</v>
      </c>
      <c r="AC185" s="8">
        <f t="shared" si="95"/>
        <v>155029.38999999998</v>
      </c>
      <c r="AD185" s="41"/>
    </row>
    <row r="186" spans="1:30" ht="24" customHeight="1">
      <c r="A186" s="709" t="s">
        <v>249</v>
      </c>
      <c r="B186" s="428">
        <f t="shared" si="89"/>
        <v>35186.3</v>
      </c>
      <c r="C186" s="702">
        <v>17768.29</v>
      </c>
      <c r="D186" s="702">
        <v>17229.22</v>
      </c>
      <c r="E186" s="450"/>
      <c r="F186" s="428">
        <f t="shared" si="90"/>
        <v>35725.37</v>
      </c>
      <c r="G186" s="285">
        <f t="shared" si="91"/>
        <v>0</v>
      </c>
      <c r="H186" s="1213"/>
      <c r="I186" s="1030"/>
      <c r="J186" s="285">
        <f t="shared" si="96"/>
        <v>0</v>
      </c>
      <c r="K186" s="302">
        <f t="shared" si="92"/>
        <v>0</v>
      </c>
      <c r="L186" s="1213"/>
      <c r="M186" s="1030"/>
      <c r="N186" s="302">
        <f t="shared" si="97"/>
        <v>0</v>
      </c>
      <c r="O186" s="301">
        <f t="shared" si="93"/>
        <v>-3690.98</v>
      </c>
      <c r="P186" s="637">
        <v>25.16</v>
      </c>
      <c r="Q186" s="637"/>
      <c r="R186" s="637">
        <v>46.88</v>
      </c>
      <c r="S186" s="301">
        <f t="shared" si="105"/>
        <v>-3712.7000000000003</v>
      </c>
      <c r="T186" s="307">
        <f t="shared" si="98"/>
        <v>46.88</v>
      </c>
      <c r="U186" s="475">
        <f t="shared" si="99"/>
        <v>0</v>
      </c>
      <c r="V186" s="475">
        <f t="shared" si="100"/>
        <v>0</v>
      </c>
      <c r="W186" s="475">
        <f t="shared" si="101"/>
        <v>46.88</v>
      </c>
      <c r="X186" s="444">
        <f t="shared" si="102"/>
        <v>17793.45</v>
      </c>
      <c r="Y186" s="444">
        <f t="shared" si="103"/>
        <v>17276.100000000002</v>
      </c>
      <c r="Z186" s="512">
        <f t="shared" si="104"/>
        <v>17276.100000000002</v>
      </c>
      <c r="AB186" s="8">
        <f t="shared" si="94"/>
        <v>53810.42</v>
      </c>
      <c r="AC186" s="8">
        <f t="shared" si="95"/>
        <v>86244.6</v>
      </c>
      <c r="AD186" s="41"/>
    </row>
    <row r="187" spans="1:30" ht="24" customHeight="1">
      <c r="A187" s="708" t="s">
        <v>304</v>
      </c>
      <c r="B187" s="428">
        <f t="shared" si="89"/>
        <v>352565.3499999998</v>
      </c>
      <c r="C187" s="702">
        <v>62547.26</v>
      </c>
      <c r="D187" s="702">
        <v>51917.22</v>
      </c>
      <c r="E187" s="450"/>
      <c r="F187" s="428">
        <f t="shared" si="90"/>
        <v>363195.3899999998</v>
      </c>
      <c r="G187" s="285">
        <f t="shared" si="91"/>
        <v>0</v>
      </c>
      <c r="H187" s="1213"/>
      <c r="I187" s="1030"/>
      <c r="J187" s="285">
        <f t="shared" si="96"/>
        <v>0</v>
      </c>
      <c r="K187" s="302">
        <f t="shared" si="92"/>
        <v>42.97999999999956</v>
      </c>
      <c r="L187" s="1213">
        <v>1889.09</v>
      </c>
      <c r="M187" s="1030">
        <v>1889.09</v>
      </c>
      <c r="N187" s="302">
        <f t="shared" si="97"/>
        <v>42.97999999999956</v>
      </c>
      <c r="O187" s="301">
        <f t="shared" si="93"/>
        <v>-20575.6</v>
      </c>
      <c r="P187" s="637">
        <v>354.38</v>
      </c>
      <c r="Q187" s="637"/>
      <c r="R187" s="637">
        <f>142.8+1850.97</f>
        <v>1993.77</v>
      </c>
      <c r="S187" s="301">
        <f t="shared" si="105"/>
        <v>-22214.989999999998</v>
      </c>
      <c r="T187" s="307">
        <f t="shared" si="98"/>
        <v>1993.77</v>
      </c>
      <c r="U187" s="475">
        <f t="shared" si="99"/>
        <v>1889.09</v>
      </c>
      <c r="V187" s="475">
        <f t="shared" si="100"/>
        <v>0</v>
      </c>
      <c r="W187" s="475">
        <f t="shared" si="101"/>
        <v>3882.8599999999997</v>
      </c>
      <c r="X187" s="444">
        <f t="shared" si="102"/>
        <v>64790.729999999996</v>
      </c>
      <c r="Y187" s="444">
        <f t="shared" si="103"/>
        <v>55800.079999999994</v>
      </c>
      <c r="Z187" s="512">
        <f t="shared" si="104"/>
        <v>53910.99</v>
      </c>
      <c r="AB187" s="8">
        <f t="shared" si="94"/>
        <v>194883.31</v>
      </c>
      <c r="AC187" s="8">
        <f t="shared" si="95"/>
        <v>229617.31</v>
      </c>
      <c r="AD187" s="41"/>
    </row>
    <row r="188" spans="1:30" ht="24" customHeight="1">
      <c r="A188" s="708" t="s">
        <v>321</v>
      </c>
      <c r="B188" s="428">
        <f t="shared" si="89"/>
        <v>394365.4899999999</v>
      </c>
      <c r="C188" s="702">
        <v>63992.51</v>
      </c>
      <c r="D188" s="702">
        <v>105119.3</v>
      </c>
      <c r="E188" s="450"/>
      <c r="F188" s="428">
        <f t="shared" si="90"/>
        <v>353238.6999999999</v>
      </c>
      <c r="G188" s="285">
        <f t="shared" si="91"/>
        <v>0</v>
      </c>
      <c r="H188" s="1213"/>
      <c r="I188" s="1030"/>
      <c r="J188" s="285">
        <f t="shared" si="96"/>
        <v>0</v>
      </c>
      <c r="K188" s="302">
        <f t="shared" si="92"/>
        <v>6929.71</v>
      </c>
      <c r="L188" s="1213">
        <v>6247.31</v>
      </c>
      <c r="M188" s="1030">
        <v>8787.65</v>
      </c>
      <c r="N188" s="302">
        <f t="shared" si="97"/>
        <v>4389.370000000001</v>
      </c>
      <c r="O188" s="301">
        <f t="shared" si="93"/>
        <v>-99218.12</v>
      </c>
      <c r="P188" s="637">
        <v>1632.22</v>
      </c>
      <c r="Q188" s="637"/>
      <c r="R188" s="637">
        <f>1705.46+12960.14</f>
        <v>14665.599999999999</v>
      </c>
      <c r="S188" s="301">
        <f t="shared" si="105"/>
        <v>-112251.5</v>
      </c>
      <c r="T188" s="307">
        <f t="shared" si="98"/>
        <v>14665.599999999999</v>
      </c>
      <c r="U188" s="475">
        <f t="shared" si="99"/>
        <v>8787.65</v>
      </c>
      <c r="V188" s="475">
        <f t="shared" si="100"/>
        <v>0</v>
      </c>
      <c r="W188" s="475">
        <f t="shared" si="101"/>
        <v>23453.25</v>
      </c>
      <c r="X188" s="444">
        <f t="shared" si="102"/>
        <v>71872.04000000001</v>
      </c>
      <c r="Y188" s="444">
        <f t="shared" si="103"/>
        <v>128572.54999999999</v>
      </c>
      <c r="Z188" s="512">
        <f t="shared" si="104"/>
        <v>119784.9</v>
      </c>
      <c r="AB188" s="8">
        <f t="shared" si="94"/>
        <v>215700.01000000004</v>
      </c>
      <c r="AC188" s="8">
        <f t="shared" si="95"/>
        <v>483203.32000000007</v>
      </c>
      <c r="AD188" s="41"/>
    </row>
    <row r="189" spans="1:30" ht="18.75">
      <c r="A189" s="1319" t="s">
        <v>127</v>
      </c>
      <c r="B189" s="1317">
        <f>SUM(B162:B188)</f>
        <v>2473226.620000001</v>
      </c>
      <c r="C189" s="1316">
        <f>SUM(C162:C188)</f>
        <v>1081824.2600000005</v>
      </c>
      <c r="D189" s="1316">
        <f>SUM(D162:D188)</f>
        <v>1083390.2999999998</v>
      </c>
      <c r="E189" s="1316"/>
      <c r="F189" s="475">
        <f>SUM(F162:F188)</f>
        <v>2471660.580000001</v>
      </c>
      <c r="G189" s="475">
        <f>SUM(G162:G188)</f>
        <v>164981.59999999995</v>
      </c>
      <c r="H189" s="1316">
        <f>SUM(H162:H188)</f>
        <v>10477.38</v>
      </c>
      <c r="I189" s="1318">
        <f>SUM(I162:I188)</f>
        <v>10516.72</v>
      </c>
      <c r="J189" s="475">
        <f aca="true" t="shared" si="106" ref="J189:O189">SUM(J162:J188)</f>
        <v>164942.25999999998</v>
      </c>
      <c r="K189" s="475">
        <f t="shared" si="106"/>
        <v>-54493.89999999999</v>
      </c>
      <c r="L189" s="1316">
        <f t="shared" si="106"/>
        <v>36732.08</v>
      </c>
      <c r="M189" s="1318">
        <f t="shared" si="106"/>
        <v>89796.79</v>
      </c>
      <c r="N189" s="475">
        <f t="shared" si="106"/>
        <v>-107558.61</v>
      </c>
      <c r="O189" s="475">
        <f t="shared" si="106"/>
        <v>-237826.88999999998</v>
      </c>
      <c r="P189" s="1320">
        <f>SUM(P162:P188)</f>
        <v>3185.41</v>
      </c>
      <c r="Q189" s="605"/>
      <c r="R189" s="1320">
        <f>SUM(R162:R188)</f>
        <v>18756.94</v>
      </c>
      <c r="S189" s="475">
        <f>O189+P189-R189</f>
        <v>-253398.41999999998</v>
      </c>
      <c r="T189" s="1321">
        <f aca="true" t="shared" si="107" ref="T189:Z189">SUM(T162:T188)</f>
        <v>18756.94</v>
      </c>
      <c r="U189" s="475">
        <f t="shared" si="107"/>
        <v>89796.79</v>
      </c>
      <c r="V189" s="475">
        <f t="shared" si="107"/>
        <v>10516.72</v>
      </c>
      <c r="W189" s="475">
        <f t="shared" si="107"/>
        <v>119070.45</v>
      </c>
      <c r="X189" s="1322">
        <f t="shared" si="107"/>
        <v>1132219.1300000001</v>
      </c>
      <c r="Y189" s="1322">
        <f t="shared" si="107"/>
        <v>1202460.75</v>
      </c>
      <c r="Z189" s="512">
        <f t="shared" si="107"/>
        <v>1102147.2399999998</v>
      </c>
      <c r="AB189" s="8">
        <f>SUM(AB162:AB188)</f>
        <v>3383643.11</v>
      </c>
      <c r="AC189" s="8">
        <f>SUM(AC162:AC188)</f>
        <v>3672493.66</v>
      </c>
      <c r="AD189" s="41"/>
    </row>
    <row r="190" spans="1:30" s="667" customFormat="1" ht="19.5" thickBot="1">
      <c r="A190" s="920"/>
      <c r="B190" s="921"/>
      <c r="C190" s="911"/>
      <c r="D190" s="908"/>
      <c r="E190" s="908"/>
      <c r="F190" s="909"/>
      <c r="G190" s="910"/>
      <c r="H190" s="911"/>
      <c r="I190" s="917"/>
      <c r="J190" s="909"/>
      <c r="K190" s="910"/>
      <c r="L190" s="922"/>
      <c r="M190" s="917"/>
      <c r="N190" s="909"/>
      <c r="O190" s="910"/>
      <c r="P190" s="923"/>
      <c r="Q190" s="924"/>
      <c r="R190" s="925"/>
      <c r="S190" s="926"/>
      <c r="T190" s="922"/>
      <c r="U190" s="917"/>
      <c r="V190" s="917"/>
      <c r="W190" s="909"/>
      <c r="X190" s="866"/>
      <c r="Y190" s="866"/>
      <c r="Z190" s="726"/>
      <c r="AB190" s="927"/>
      <c r="AC190" s="878"/>
      <c r="AD190" s="550"/>
    </row>
    <row r="191" spans="1:28" ht="45" customHeight="1" thickBot="1">
      <c r="A191" s="407" t="s">
        <v>129</v>
      </c>
      <c r="B191" s="410" t="s">
        <v>22</v>
      </c>
      <c r="C191" s="1597" t="s">
        <v>133</v>
      </c>
      <c r="D191" s="1598"/>
      <c r="E191" s="1598"/>
      <c r="F191" s="1599"/>
      <c r="G191" s="85" t="s">
        <v>27</v>
      </c>
      <c r="H191" s="1594" t="s">
        <v>97</v>
      </c>
      <c r="I191" s="1595"/>
      <c r="J191" s="1596"/>
      <c r="K191" s="418" t="s">
        <v>27</v>
      </c>
      <c r="L191" s="1570" t="s">
        <v>4</v>
      </c>
      <c r="M191" s="1570"/>
      <c r="N191" s="1570"/>
      <c r="O191" s="419" t="s">
        <v>27</v>
      </c>
      <c r="P191" s="1614" t="s">
        <v>23</v>
      </c>
      <c r="Q191" s="1614"/>
      <c r="R191" s="1614"/>
      <c r="S191" s="1614"/>
      <c r="T191" s="1605" t="s">
        <v>433</v>
      </c>
      <c r="U191" s="1606"/>
      <c r="V191" s="1606"/>
      <c r="W191" s="1607"/>
      <c r="X191" s="1332"/>
      <c r="Y191" s="1593" t="s">
        <v>434</v>
      </c>
      <c r="Z191" s="1593"/>
      <c r="AA191" s="1729"/>
      <c r="AB191" s="640"/>
    </row>
    <row r="192" spans="1:31" ht="54.75" thickBot="1">
      <c r="A192" s="406" t="s">
        <v>1</v>
      </c>
      <c r="B192" s="410" t="s">
        <v>432</v>
      </c>
      <c r="C192" s="421" t="s">
        <v>5</v>
      </c>
      <c r="D192" s="421" t="s">
        <v>6</v>
      </c>
      <c r="E192" s="421" t="s">
        <v>65</v>
      </c>
      <c r="F192" s="421" t="s">
        <v>7</v>
      </c>
      <c r="G192" s="86" t="s">
        <v>173</v>
      </c>
      <c r="H192" s="1201" t="s">
        <v>5</v>
      </c>
      <c r="I192" s="1201" t="s">
        <v>6</v>
      </c>
      <c r="J192" s="86" t="s">
        <v>171</v>
      </c>
      <c r="K192" s="1295" t="s">
        <v>173</v>
      </c>
      <c r="L192" s="1295" t="s">
        <v>5</v>
      </c>
      <c r="M192" s="1295" t="s">
        <v>6</v>
      </c>
      <c r="N192" s="1295" t="s">
        <v>25</v>
      </c>
      <c r="O192" s="1296" t="s">
        <v>173</v>
      </c>
      <c r="P192" s="1296" t="s">
        <v>5</v>
      </c>
      <c r="Q192" s="1296" t="s">
        <v>64</v>
      </c>
      <c r="R192" s="1296" t="s">
        <v>6</v>
      </c>
      <c r="S192" s="1296" t="s">
        <v>25</v>
      </c>
      <c r="T192" s="248" t="s">
        <v>104</v>
      </c>
      <c r="U192" s="248" t="s">
        <v>69</v>
      </c>
      <c r="V192" s="248" t="s">
        <v>95</v>
      </c>
      <c r="W192" s="251" t="s">
        <v>105</v>
      </c>
      <c r="X192" s="190" t="s">
        <v>67</v>
      </c>
      <c r="Y192" s="182" t="s">
        <v>69</v>
      </c>
      <c r="Z192" s="191" t="s">
        <v>82</v>
      </c>
      <c r="AA192" s="621" t="s">
        <v>75</v>
      </c>
      <c r="AB192" s="619" t="s">
        <v>169</v>
      </c>
      <c r="AC192" s="587" t="s">
        <v>106</v>
      </c>
      <c r="AD192" s="587" t="s">
        <v>107</v>
      </c>
      <c r="AE192" s="1333" t="s">
        <v>442</v>
      </c>
    </row>
    <row r="193" spans="1:31" ht="18.75">
      <c r="A193" s="117" t="s">
        <v>47</v>
      </c>
      <c r="B193" s="74">
        <f aca="true" t="shared" si="108" ref="B193:B219">F162</f>
        <v>112544.99999999994</v>
      </c>
      <c r="C193" s="446">
        <v>15241.23</v>
      </c>
      <c r="D193" s="246">
        <v>15785.29</v>
      </c>
      <c r="E193" s="72"/>
      <c r="F193" s="74">
        <f>B193+C193-D193</f>
        <v>112000.93999999994</v>
      </c>
      <c r="G193" s="258">
        <f aca="true" t="shared" si="109" ref="G193:G219">J162</f>
        <v>27821.629999999983</v>
      </c>
      <c r="H193" s="1077">
        <v>1219.32</v>
      </c>
      <c r="I193" s="1030"/>
      <c r="J193" s="285">
        <f>G193+H193-I193</f>
        <v>29040.949999999983</v>
      </c>
      <c r="K193" s="302">
        <f aca="true" t="shared" si="110" ref="K193:K219">N162</f>
        <v>-5365.19</v>
      </c>
      <c r="L193" s="1328">
        <v>4819.88</v>
      </c>
      <c r="M193" s="1031"/>
      <c r="N193" s="108">
        <f>K193+L193-M193</f>
        <v>-545.3099999999995</v>
      </c>
      <c r="O193" s="301">
        <f aca="true" t="shared" si="111" ref="O193:O219">S162</f>
        <v>-1491.32</v>
      </c>
      <c r="P193" s="648">
        <v>50</v>
      </c>
      <c r="Q193" s="1196"/>
      <c r="R193" s="648">
        <v>49.73</v>
      </c>
      <c r="S193" s="301">
        <f>O193+P193-R193</f>
        <v>-1491.05</v>
      </c>
      <c r="T193" s="252">
        <f>R193</f>
        <v>49.73</v>
      </c>
      <c r="U193" s="252">
        <f>M193</f>
        <v>0</v>
      </c>
      <c r="V193" s="252">
        <f>I193</f>
        <v>0</v>
      </c>
      <c r="W193" s="253">
        <f>T193+U193+V193</f>
        <v>49.73</v>
      </c>
      <c r="X193" s="249">
        <f aca="true" t="shared" si="112" ref="X193:X219">T131+T162+T193</f>
        <v>226.56</v>
      </c>
      <c r="Y193" s="250">
        <f aca="true" t="shared" si="113" ref="Y193:Y219">U131+U162+U193</f>
        <v>9639.76</v>
      </c>
      <c r="Z193" s="250">
        <f aca="true" t="shared" si="114" ref="Z193:Z219">V131+V162+V193</f>
        <v>1862.42</v>
      </c>
      <c r="AA193" s="622">
        <f>X193+Y193+Z193</f>
        <v>11728.74</v>
      </c>
      <c r="AB193" s="620">
        <f>Y193+Z193</f>
        <v>11502.18</v>
      </c>
      <c r="AC193" s="270">
        <f>C193+H193+L193+P193</f>
        <v>21330.43</v>
      </c>
      <c r="AD193" s="444">
        <f>D193+I193+M193+R193</f>
        <v>15835.02</v>
      </c>
      <c r="AE193" s="1334">
        <f>D193+R193</f>
        <v>15835.02</v>
      </c>
    </row>
    <row r="194" spans="1:31" ht="18.75">
      <c r="A194" s="73" t="s">
        <v>53</v>
      </c>
      <c r="B194" s="74">
        <f t="shared" si="108"/>
        <v>125736.52000000022</v>
      </c>
      <c r="C194" s="446">
        <v>33877.29</v>
      </c>
      <c r="D194" s="246">
        <v>31079.09</v>
      </c>
      <c r="E194" s="72"/>
      <c r="F194" s="74">
        <f aca="true" t="shared" si="115" ref="F194:F219">B194+C194-D194</f>
        <v>128534.72000000023</v>
      </c>
      <c r="G194" s="258">
        <f t="shared" si="109"/>
        <v>1153.5599999999995</v>
      </c>
      <c r="H194" s="1077">
        <v>294.05</v>
      </c>
      <c r="I194" s="1030"/>
      <c r="J194" s="285">
        <f aca="true" t="shared" si="116" ref="J194:J219">G194+H194-I194</f>
        <v>1447.6099999999994</v>
      </c>
      <c r="K194" s="302">
        <f t="shared" si="110"/>
        <v>-3623.4</v>
      </c>
      <c r="L194" s="1328">
        <v>137.45</v>
      </c>
      <c r="M194" s="1031">
        <v>137.45</v>
      </c>
      <c r="N194" s="108">
        <f aca="true" t="shared" si="117" ref="N194:N219">K194+L194-M194</f>
        <v>-3623.4</v>
      </c>
      <c r="O194" s="301">
        <f t="shared" si="111"/>
        <v>141.1</v>
      </c>
      <c r="P194" s="648">
        <v>50.12</v>
      </c>
      <c r="Q194" s="1196"/>
      <c r="R194" s="648">
        <v>54.55</v>
      </c>
      <c r="S194" s="301">
        <f aca="true" t="shared" si="118" ref="S194:S219">O194+P194-R194</f>
        <v>136.67000000000002</v>
      </c>
      <c r="T194" s="252">
        <f aca="true" t="shared" si="119" ref="T194:T219">R194</f>
        <v>54.55</v>
      </c>
      <c r="U194" s="252">
        <f aca="true" t="shared" si="120" ref="U194:U219">M194</f>
        <v>137.45</v>
      </c>
      <c r="V194" s="252">
        <f aca="true" t="shared" si="121" ref="V194:V219">I194</f>
        <v>0</v>
      </c>
      <c r="W194" s="253">
        <f aca="true" t="shared" si="122" ref="W194:W220">T194+U194+V194</f>
        <v>192</v>
      </c>
      <c r="X194" s="249">
        <f t="shared" si="112"/>
        <v>157.08999999999997</v>
      </c>
      <c r="Y194" s="250">
        <f t="shared" si="113"/>
        <v>687.25</v>
      </c>
      <c r="Z194" s="250">
        <f t="shared" si="114"/>
        <v>379.18</v>
      </c>
      <c r="AA194" s="622">
        <f aca="true" t="shared" si="123" ref="AA194:AA219">X194+Y194+Z194</f>
        <v>1223.52</v>
      </c>
      <c r="AB194" s="620">
        <f aca="true" t="shared" si="124" ref="AB194:AB219">Y194+Z194</f>
        <v>1066.43</v>
      </c>
      <c r="AC194" s="270">
        <f aca="true" t="shared" si="125" ref="AC194:AC219">C194+H194+L194+P194</f>
        <v>34358.91</v>
      </c>
      <c r="AD194" s="444">
        <f aca="true" t="shared" si="126" ref="AD194:AD219">D194+I194+M194+R194</f>
        <v>31271.09</v>
      </c>
      <c r="AE194" s="1334">
        <f aca="true" t="shared" si="127" ref="AE194:AE219">D194+R194</f>
        <v>31133.64</v>
      </c>
    </row>
    <row r="195" spans="1:31" ht="18.75">
      <c r="A195" s="73" t="s">
        <v>8</v>
      </c>
      <c r="B195" s="74">
        <f t="shared" si="108"/>
        <v>74445.62</v>
      </c>
      <c r="C195" s="428"/>
      <c r="D195" s="74"/>
      <c r="E195" s="74"/>
      <c r="F195" s="74">
        <f t="shared" si="115"/>
        <v>74445.62</v>
      </c>
      <c r="G195" s="258">
        <f t="shared" si="109"/>
        <v>0</v>
      </c>
      <c r="H195" s="1076"/>
      <c r="I195" s="1030"/>
      <c r="J195" s="285">
        <f t="shared" si="116"/>
        <v>0</v>
      </c>
      <c r="K195" s="302">
        <f t="shared" si="110"/>
        <v>0</v>
      </c>
      <c r="L195" s="1328"/>
      <c r="M195" s="1031"/>
      <c r="N195" s="108">
        <f t="shared" si="117"/>
        <v>0</v>
      </c>
      <c r="O195" s="301">
        <f t="shared" si="111"/>
        <v>0</v>
      </c>
      <c r="P195" s="301"/>
      <c r="Q195" s="263"/>
      <c r="R195" s="312"/>
      <c r="S195" s="301">
        <f t="shared" si="118"/>
        <v>0</v>
      </c>
      <c r="T195" s="252">
        <f t="shared" si="119"/>
        <v>0</v>
      </c>
      <c r="U195" s="252">
        <f t="shared" si="120"/>
        <v>0</v>
      </c>
      <c r="V195" s="252">
        <f t="shared" si="121"/>
        <v>0</v>
      </c>
      <c r="W195" s="253">
        <f t="shared" si="122"/>
        <v>0</v>
      </c>
      <c r="X195" s="249">
        <f t="shared" si="112"/>
        <v>0</v>
      </c>
      <c r="Y195" s="250">
        <f t="shared" si="113"/>
        <v>0</v>
      </c>
      <c r="Z195" s="250">
        <f t="shared" si="114"/>
        <v>0</v>
      </c>
      <c r="AA195" s="622">
        <f t="shared" si="123"/>
        <v>0</v>
      </c>
      <c r="AB195" s="620">
        <f t="shared" si="124"/>
        <v>0</v>
      </c>
      <c r="AC195" s="270">
        <f t="shared" si="125"/>
        <v>0</v>
      </c>
      <c r="AD195" s="444">
        <f t="shared" si="126"/>
        <v>0</v>
      </c>
      <c r="AE195" s="1334">
        <f t="shared" si="127"/>
        <v>0</v>
      </c>
    </row>
    <row r="196" spans="1:31" ht="18.75">
      <c r="A196" s="73" t="s">
        <v>48</v>
      </c>
      <c r="B196" s="74">
        <f t="shared" si="108"/>
        <v>387093.3000000002</v>
      </c>
      <c r="C196" s="428">
        <v>81986.26</v>
      </c>
      <c r="D196" s="74">
        <v>84428.14</v>
      </c>
      <c r="E196" s="74"/>
      <c r="F196" s="74">
        <f t="shared" si="115"/>
        <v>384651.4200000002</v>
      </c>
      <c r="G196" s="258">
        <f t="shared" si="109"/>
        <v>28258.229999999996</v>
      </c>
      <c r="H196" s="1076">
        <v>1401.11</v>
      </c>
      <c r="I196" s="1030"/>
      <c r="J196" s="285">
        <f t="shared" si="116"/>
        <v>29659.339999999997</v>
      </c>
      <c r="K196" s="302">
        <f t="shared" si="110"/>
        <v>1234.090000000001</v>
      </c>
      <c r="L196" s="1328">
        <v>1522.21</v>
      </c>
      <c r="M196" s="1031">
        <v>3989.55</v>
      </c>
      <c r="N196" s="108">
        <f t="shared" si="117"/>
        <v>-1233.249999999999</v>
      </c>
      <c r="O196" s="301">
        <f t="shared" si="111"/>
        <v>-1829.0899999999995</v>
      </c>
      <c r="P196" s="301">
        <v>360.58</v>
      </c>
      <c r="Q196" s="263"/>
      <c r="R196" s="636">
        <v>372.49</v>
      </c>
      <c r="S196" s="301">
        <f t="shared" si="118"/>
        <v>-1840.9999999999995</v>
      </c>
      <c r="T196" s="252">
        <f t="shared" si="119"/>
        <v>372.49</v>
      </c>
      <c r="U196" s="252">
        <f t="shared" si="120"/>
        <v>3989.55</v>
      </c>
      <c r="V196" s="252">
        <f t="shared" si="121"/>
        <v>0</v>
      </c>
      <c r="W196" s="253">
        <f t="shared" si="122"/>
        <v>4362.04</v>
      </c>
      <c r="X196" s="249">
        <f t="shared" si="112"/>
        <v>372.49</v>
      </c>
      <c r="Y196" s="250">
        <f t="shared" si="113"/>
        <v>5800.29</v>
      </c>
      <c r="Z196" s="250">
        <f t="shared" si="114"/>
        <v>2105.69</v>
      </c>
      <c r="AA196" s="622">
        <f t="shared" si="123"/>
        <v>8278.47</v>
      </c>
      <c r="AB196" s="620">
        <f t="shared" si="124"/>
        <v>7905.98</v>
      </c>
      <c r="AC196" s="270">
        <f t="shared" si="125"/>
        <v>85270.16</v>
      </c>
      <c r="AD196" s="444">
        <f t="shared" si="126"/>
        <v>88790.18000000001</v>
      </c>
      <c r="AE196" s="1334">
        <f t="shared" si="127"/>
        <v>84800.63</v>
      </c>
    </row>
    <row r="197" spans="1:31" ht="18.75">
      <c r="A197" s="73" t="s">
        <v>9</v>
      </c>
      <c r="B197" s="74">
        <f t="shared" si="108"/>
        <v>129887.35000000006</v>
      </c>
      <c r="C197" s="428">
        <v>20363.74</v>
      </c>
      <c r="D197" s="74">
        <v>22860.69</v>
      </c>
      <c r="E197" s="74"/>
      <c r="F197" s="74">
        <f t="shared" si="115"/>
        <v>127390.40000000005</v>
      </c>
      <c r="G197" s="258">
        <f t="shared" si="109"/>
        <v>33423.51999999999</v>
      </c>
      <c r="H197" s="1076">
        <f>1508.75+112.42</f>
        <v>1621.17</v>
      </c>
      <c r="I197" s="1030"/>
      <c r="J197" s="285">
        <f t="shared" si="116"/>
        <v>35044.68999999999</v>
      </c>
      <c r="K197" s="302">
        <f t="shared" si="110"/>
        <v>0</v>
      </c>
      <c r="L197" s="1328"/>
      <c r="M197" s="1031"/>
      <c r="N197" s="108">
        <f t="shared" si="117"/>
        <v>0</v>
      </c>
      <c r="O197" s="301">
        <f t="shared" si="111"/>
        <v>1093.4299999999996</v>
      </c>
      <c r="P197" s="301">
        <v>22.83</v>
      </c>
      <c r="Q197" s="263"/>
      <c r="R197" s="636">
        <v>20.85</v>
      </c>
      <c r="S197" s="301">
        <f t="shared" si="118"/>
        <v>1095.4099999999996</v>
      </c>
      <c r="T197" s="252">
        <f t="shared" si="119"/>
        <v>20.85</v>
      </c>
      <c r="U197" s="252">
        <f t="shared" si="120"/>
        <v>0</v>
      </c>
      <c r="V197" s="252">
        <f t="shared" si="121"/>
        <v>0</v>
      </c>
      <c r="W197" s="253">
        <f t="shared" si="122"/>
        <v>20.85</v>
      </c>
      <c r="X197" s="249">
        <f t="shared" si="112"/>
        <v>144.59</v>
      </c>
      <c r="Y197" s="250">
        <f t="shared" si="113"/>
        <v>0</v>
      </c>
      <c r="Z197" s="250">
        <f t="shared" si="114"/>
        <v>2197.91</v>
      </c>
      <c r="AA197" s="622">
        <f t="shared" si="123"/>
        <v>2342.5</v>
      </c>
      <c r="AB197" s="620">
        <f t="shared" si="124"/>
        <v>2197.91</v>
      </c>
      <c r="AC197" s="270">
        <f t="shared" si="125"/>
        <v>22007.740000000005</v>
      </c>
      <c r="AD197" s="444">
        <f t="shared" si="126"/>
        <v>22881.539999999997</v>
      </c>
      <c r="AE197" s="1334">
        <f t="shared" si="127"/>
        <v>22881.539999999997</v>
      </c>
    </row>
    <row r="198" spans="1:31" ht="18.75">
      <c r="A198" s="73" t="s">
        <v>10</v>
      </c>
      <c r="B198" s="74">
        <f t="shared" si="108"/>
        <v>9216.960000000094</v>
      </c>
      <c r="C198" s="428">
        <v>8796.01</v>
      </c>
      <c r="D198" s="74">
        <v>9272.97</v>
      </c>
      <c r="E198" s="74"/>
      <c r="F198" s="74">
        <f t="shared" si="115"/>
        <v>8740.000000000096</v>
      </c>
      <c r="G198" s="258">
        <f t="shared" si="109"/>
        <v>0</v>
      </c>
      <c r="H198" s="1076"/>
      <c r="I198" s="1030"/>
      <c r="J198" s="285">
        <f t="shared" si="116"/>
        <v>0</v>
      </c>
      <c r="K198" s="302">
        <f t="shared" si="110"/>
        <v>0</v>
      </c>
      <c r="L198" s="1328"/>
      <c r="M198" s="1031"/>
      <c r="N198" s="108">
        <f t="shared" si="117"/>
        <v>0</v>
      </c>
      <c r="O198" s="301">
        <f t="shared" si="111"/>
        <v>47.67999999999999</v>
      </c>
      <c r="P198" s="301">
        <v>0.72</v>
      </c>
      <c r="Q198" s="263"/>
      <c r="R198" s="301">
        <v>0.72</v>
      </c>
      <c r="S198" s="301">
        <f t="shared" si="118"/>
        <v>47.67999999999999</v>
      </c>
      <c r="T198" s="252">
        <f t="shared" si="119"/>
        <v>0.72</v>
      </c>
      <c r="U198" s="252">
        <f t="shared" si="120"/>
        <v>0</v>
      </c>
      <c r="V198" s="252">
        <f t="shared" si="121"/>
        <v>0</v>
      </c>
      <c r="W198" s="253">
        <f t="shared" si="122"/>
        <v>0.72</v>
      </c>
      <c r="X198" s="249">
        <f t="shared" si="112"/>
        <v>24.31</v>
      </c>
      <c r="Y198" s="250">
        <f t="shared" si="113"/>
        <v>0</v>
      </c>
      <c r="Z198" s="250">
        <f t="shared" si="114"/>
        <v>0</v>
      </c>
      <c r="AA198" s="622">
        <f t="shared" si="123"/>
        <v>24.31</v>
      </c>
      <c r="AB198" s="620">
        <f t="shared" si="124"/>
        <v>0</v>
      </c>
      <c r="AC198" s="270">
        <f t="shared" si="125"/>
        <v>8796.73</v>
      </c>
      <c r="AD198" s="444">
        <f t="shared" si="126"/>
        <v>9273.689999999999</v>
      </c>
      <c r="AE198" s="1334">
        <f t="shared" si="127"/>
        <v>9273.689999999999</v>
      </c>
    </row>
    <row r="199" spans="1:31" ht="18.75">
      <c r="A199" s="73" t="s">
        <v>11</v>
      </c>
      <c r="B199" s="74">
        <f t="shared" si="108"/>
        <v>10210.380000000034</v>
      </c>
      <c r="C199" s="428">
        <v>8764.88</v>
      </c>
      <c r="D199" s="74">
        <v>9210.28</v>
      </c>
      <c r="E199" s="74"/>
      <c r="F199" s="74">
        <f t="shared" si="115"/>
        <v>9764.98000000003</v>
      </c>
      <c r="G199" s="258">
        <f t="shared" si="109"/>
        <v>0</v>
      </c>
      <c r="H199" s="1076"/>
      <c r="I199" s="1030"/>
      <c r="J199" s="285">
        <f t="shared" si="116"/>
        <v>0</v>
      </c>
      <c r="K199" s="302">
        <f t="shared" si="110"/>
        <v>0</v>
      </c>
      <c r="L199" s="1328"/>
      <c r="M199" s="1031"/>
      <c r="N199" s="108">
        <f t="shared" si="117"/>
        <v>0</v>
      </c>
      <c r="O199" s="301">
        <f t="shared" si="111"/>
        <v>90.45</v>
      </c>
      <c r="P199" s="301">
        <v>1.13</v>
      </c>
      <c r="Q199" s="263"/>
      <c r="R199" s="301">
        <v>2.05</v>
      </c>
      <c r="S199" s="301">
        <f t="shared" si="118"/>
        <v>89.53</v>
      </c>
      <c r="T199" s="252">
        <f t="shared" si="119"/>
        <v>2.05</v>
      </c>
      <c r="U199" s="252">
        <f t="shared" si="120"/>
        <v>0</v>
      </c>
      <c r="V199" s="252">
        <f t="shared" si="121"/>
        <v>0</v>
      </c>
      <c r="W199" s="253">
        <f t="shared" si="122"/>
        <v>2.05</v>
      </c>
      <c r="X199" s="249">
        <f t="shared" si="112"/>
        <v>2.05</v>
      </c>
      <c r="Y199" s="250">
        <f t="shared" si="113"/>
        <v>0</v>
      </c>
      <c r="Z199" s="250">
        <f t="shared" si="114"/>
        <v>0</v>
      </c>
      <c r="AA199" s="622">
        <f t="shared" si="123"/>
        <v>2.05</v>
      </c>
      <c r="AB199" s="620">
        <f t="shared" si="124"/>
        <v>0</v>
      </c>
      <c r="AC199" s="270">
        <f t="shared" si="125"/>
        <v>8766.009999999998</v>
      </c>
      <c r="AD199" s="444">
        <f t="shared" si="126"/>
        <v>9212.33</v>
      </c>
      <c r="AE199" s="1334">
        <f t="shared" si="127"/>
        <v>9212.33</v>
      </c>
    </row>
    <row r="200" spans="1:31" ht="18.75">
      <c r="A200" s="73" t="s">
        <v>12</v>
      </c>
      <c r="B200" s="74">
        <f t="shared" si="108"/>
        <v>94040.68000000018</v>
      </c>
      <c r="C200" s="428">
        <v>50188.44</v>
      </c>
      <c r="D200" s="74">
        <v>53698</v>
      </c>
      <c r="E200" s="74"/>
      <c r="F200" s="74">
        <f t="shared" si="115"/>
        <v>90531.12000000017</v>
      </c>
      <c r="G200" s="258">
        <f t="shared" si="109"/>
        <v>9059.239999999994</v>
      </c>
      <c r="H200" s="1076">
        <v>583.65</v>
      </c>
      <c r="I200" s="1030"/>
      <c r="J200" s="285">
        <f t="shared" si="116"/>
        <v>9642.889999999994</v>
      </c>
      <c r="K200" s="302">
        <f t="shared" si="110"/>
        <v>1508.3999999999985</v>
      </c>
      <c r="L200" s="1328">
        <v>1722.24</v>
      </c>
      <c r="M200" s="1031">
        <v>1722.24</v>
      </c>
      <c r="N200" s="108">
        <f t="shared" si="117"/>
        <v>1508.3999999999985</v>
      </c>
      <c r="O200" s="301">
        <f t="shared" si="111"/>
        <v>340.26</v>
      </c>
      <c r="P200" s="301">
        <v>50.88</v>
      </c>
      <c r="Q200" s="263"/>
      <c r="R200" s="636">
        <v>58.99</v>
      </c>
      <c r="S200" s="301">
        <f t="shared" si="118"/>
        <v>332.15</v>
      </c>
      <c r="T200" s="252">
        <f t="shared" si="119"/>
        <v>58.99</v>
      </c>
      <c r="U200" s="252">
        <f t="shared" si="120"/>
        <v>1722.24</v>
      </c>
      <c r="V200" s="252">
        <f t="shared" si="121"/>
        <v>0</v>
      </c>
      <c r="W200" s="253">
        <f t="shared" si="122"/>
        <v>1781.23</v>
      </c>
      <c r="X200" s="249">
        <f t="shared" si="112"/>
        <v>285.95</v>
      </c>
      <c r="Y200" s="250">
        <f t="shared" si="113"/>
        <v>5166.72</v>
      </c>
      <c r="Z200" s="250">
        <f t="shared" si="114"/>
        <v>517.28</v>
      </c>
      <c r="AA200" s="622">
        <f t="shared" si="123"/>
        <v>5969.95</v>
      </c>
      <c r="AB200" s="620">
        <f t="shared" si="124"/>
        <v>5684</v>
      </c>
      <c r="AC200" s="270">
        <f t="shared" si="125"/>
        <v>52545.21</v>
      </c>
      <c r="AD200" s="444">
        <f t="shared" si="126"/>
        <v>55479.229999999996</v>
      </c>
      <c r="AE200" s="1334">
        <f t="shared" si="127"/>
        <v>53756.99</v>
      </c>
    </row>
    <row r="201" spans="1:31" ht="18.75">
      <c r="A201" s="73" t="s">
        <v>13</v>
      </c>
      <c r="B201" s="74">
        <f t="shared" si="108"/>
        <v>56147.610000000044</v>
      </c>
      <c r="C201" s="428">
        <v>29667.93</v>
      </c>
      <c r="D201" s="74">
        <v>29378.29</v>
      </c>
      <c r="E201" s="74"/>
      <c r="F201" s="74">
        <f t="shared" si="115"/>
        <v>56437.25000000004</v>
      </c>
      <c r="G201" s="258">
        <f t="shared" si="109"/>
        <v>3228.1399999999985</v>
      </c>
      <c r="H201" s="1076">
        <v>196.74</v>
      </c>
      <c r="I201" s="1030"/>
      <c r="J201" s="285">
        <f t="shared" si="116"/>
        <v>3424.8799999999983</v>
      </c>
      <c r="K201" s="302">
        <f t="shared" si="110"/>
        <v>-2290.02</v>
      </c>
      <c r="L201" s="1328">
        <v>727.77</v>
      </c>
      <c r="M201" s="1031">
        <v>727.77</v>
      </c>
      <c r="N201" s="108">
        <f t="shared" si="117"/>
        <v>-2290.02</v>
      </c>
      <c r="O201" s="301">
        <f t="shared" si="111"/>
        <v>60.75000000000006</v>
      </c>
      <c r="P201" s="301">
        <v>52.49</v>
      </c>
      <c r="Q201" s="263"/>
      <c r="R201" s="636">
        <v>58.4</v>
      </c>
      <c r="S201" s="301">
        <f t="shared" si="118"/>
        <v>54.84000000000007</v>
      </c>
      <c r="T201" s="252">
        <f t="shared" si="119"/>
        <v>58.4</v>
      </c>
      <c r="U201" s="252">
        <f t="shared" si="120"/>
        <v>727.77</v>
      </c>
      <c r="V201" s="252">
        <f t="shared" si="121"/>
        <v>0</v>
      </c>
      <c r="W201" s="253">
        <f t="shared" si="122"/>
        <v>786.17</v>
      </c>
      <c r="X201" s="249">
        <f t="shared" si="112"/>
        <v>194.85</v>
      </c>
      <c r="Y201" s="250">
        <f t="shared" si="113"/>
        <v>2911.08</v>
      </c>
      <c r="Z201" s="250">
        <f t="shared" si="114"/>
        <v>174.37</v>
      </c>
      <c r="AA201" s="622">
        <f t="shared" si="123"/>
        <v>3280.2999999999997</v>
      </c>
      <c r="AB201" s="620">
        <f t="shared" si="124"/>
        <v>3085.45</v>
      </c>
      <c r="AC201" s="270">
        <f t="shared" si="125"/>
        <v>30644.930000000004</v>
      </c>
      <c r="AD201" s="444">
        <f t="shared" si="126"/>
        <v>30164.460000000003</v>
      </c>
      <c r="AE201" s="1334">
        <f t="shared" si="127"/>
        <v>29436.690000000002</v>
      </c>
    </row>
    <row r="202" spans="1:31" ht="18.75">
      <c r="A202" s="73" t="s">
        <v>14</v>
      </c>
      <c r="B202" s="74">
        <f t="shared" si="108"/>
        <v>61405.860000000066</v>
      </c>
      <c r="C202" s="428">
        <v>36574.19</v>
      </c>
      <c r="D202" s="74">
        <v>33299.12</v>
      </c>
      <c r="E202" s="74"/>
      <c r="F202" s="74">
        <f t="shared" si="115"/>
        <v>64680.93000000007</v>
      </c>
      <c r="G202" s="258">
        <f t="shared" si="109"/>
        <v>3451.66</v>
      </c>
      <c r="H202" s="1076"/>
      <c r="I202" s="1030"/>
      <c r="J202" s="285">
        <f t="shared" si="116"/>
        <v>3451.66</v>
      </c>
      <c r="K202" s="302">
        <f t="shared" si="110"/>
        <v>3543.5699999999997</v>
      </c>
      <c r="L202" s="1328">
        <v>2926</v>
      </c>
      <c r="M202" s="1031">
        <v>2457.37</v>
      </c>
      <c r="N202" s="108">
        <f t="shared" si="117"/>
        <v>4012.2</v>
      </c>
      <c r="O202" s="301">
        <f t="shared" si="111"/>
        <v>-213.72000000000003</v>
      </c>
      <c r="P202" s="301"/>
      <c r="Q202" s="263"/>
      <c r="R202" s="634"/>
      <c r="S202" s="301">
        <f t="shared" si="118"/>
        <v>-213.72000000000003</v>
      </c>
      <c r="T202" s="252">
        <f t="shared" si="119"/>
        <v>0</v>
      </c>
      <c r="U202" s="252">
        <f t="shared" si="120"/>
        <v>2457.37</v>
      </c>
      <c r="V202" s="252">
        <f t="shared" si="121"/>
        <v>0</v>
      </c>
      <c r="W202" s="253">
        <f t="shared" si="122"/>
        <v>2457.37</v>
      </c>
      <c r="X202" s="249">
        <f t="shared" si="112"/>
        <v>0</v>
      </c>
      <c r="Y202" s="250">
        <f t="shared" si="113"/>
        <v>9177.66</v>
      </c>
      <c r="Z202" s="250">
        <f t="shared" si="114"/>
        <v>493.66</v>
      </c>
      <c r="AA202" s="622">
        <f t="shared" si="123"/>
        <v>9671.32</v>
      </c>
      <c r="AB202" s="620">
        <f t="shared" si="124"/>
        <v>9671.32</v>
      </c>
      <c r="AC202" s="270">
        <f t="shared" si="125"/>
        <v>39500.19</v>
      </c>
      <c r="AD202" s="444">
        <f t="shared" si="126"/>
        <v>35756.490000000005</v>
      </c>
      <c r="AE202" s="1334">
        <f t="shared" si="127"/>
        <v>33299.12</v>
      </c>
    </row>
    <row r="203" spans="1:31" ht="18.75">
      <c r="A203" s="73" t="s">
        <v>55</v>
      </c>
      <c r="B203" s="74">
        <f t="shared" si="108"/>
        <v>38592.21000000001</v>
      </c>
      <c r="C203" s="428">
        <v>16275.19</v>
      </c>
      <c r="D203" s="74">
        <v>15916.88</v>
      </c>
      <c r="E203" s="74"/>
      <c r="F203" s="74">
        <f t="shared" si="115"/>
        <v>38950.52000000001</v>
      </c>
      <c r="G203" s="258">
        <f t="shared" si="109"/>
        <v>3248.7000000000007</v>
      </c>
      <c r="H203" s="1076">
        <v>209.3</v>
      </c>
      <c r="I203" s="1030"/>
      <c r="J203" s="285">
        <f t="shared" si="116"/>
        <v>3458.000000000001</v>
      </c>
      <c r="K203" s="302">
        <f t="shared" si="110"/>
        <v>1068.5000000000027</v>
      </c>
      <c r="L203" s="1328">
        <v>773.21</v>
      </c>
      <c r="M203" s="1031"/>
      <c r="N203" s="108">
        <f t="shared" si="117"/>
        <v>1841.7100000000028</v>
      </c>
      <c r="O203" s="301">
        <f t="shared" si="111"/>
        <v>-763.87</v>
      </c>
      <c r="P203" s="301">
        <v>0.41</v>
      </c>
      <c r="Q203" s="263"/>
      <c r="R203" s="301">
        <v>0.41</v>
      </c>
      <c r="S203" s="301">
        <f t="shared" si="118"/>
        <v>-763.87</v>
      </c>
      <c r="T203" s="252">
        <f t="shared" si="119"/>
        <v>0.41</v>
      </c>
      <c r="U203" s="252">
        <f t="shared" si="120"/>
        <v>0</v>
      </c>
      <c r="V203" s="252">
        <f t="shared" si="121"/>
        <v>0</v>
      </c>
      <c r="W203" s="253">
        <f t="shared" si="122"/>
        <v>0.41</v>
      </c>
      <c r="X203" s="249">
        <f t="shared" si="112"/>
        <v>2.08</v>
      </c>
      <c r="Y203" s="250">
        <f t="shared" si="113"/>
        <v>2387.2</v>
      </c>
      <c r="Z203" s="250">
        <f t="shared" si="114"/>
        <v>185.5</v>
      </c>
      <c r="AA203" s="622">
        <f t="shared" si="123"/>
        <v>2574.7799999999997</v>
      </c>
      <c r="AB203" s="620">
        <f t="shared" si="124"/>
        <v>2572.7</v>
      </c>
      <c r="AC203" s="270">
        <f t="shared" si="125"/>
        <v>17258.11</v>
      </c>
      <c r="AD203" s="444">
        <f t="shared" si="126"/>
        <v>15917.289999999999</v>
      </c>
      <c r="AE203" s="1334">
        <f t="shared" si="127"/>
        <v>15917.289999999999</v>
      </c>
    </row>
    <row r="204" spans="1:31" ht="18.75">
      <c r="A204" s="73" t="s">
        <v>15</v>
      </c>
      <c r="B204" s="74">
        <f t="shared" si="108"/>
        <v>114753.00000000032</v>
      </c>
      <c r="C204" s="428">
        <v>39158.89</v>
      </c>
      <c r="D204" s="74">
        <v>34033.56</v>
      </c>
      <c r="E204" s="74"/>
      <c r="F204" s="74">
        <f t="shared" si="115"/>
        <v>119878.33000000031</v>
      </c>
      <c r="G204" s="258">
        <f t="shared" si="109"/>
        <v>0</v>
      </c>
      <c r="H204" s="1076"/>
      <c r="I204" s="1030"/>
      <c r="J204" s="285">
        <f t="shared" si="116"/>
        <v>0</v>
      </c>
      <c r="K204" s="302">
        <f t="shared" si="110"/>
        <v>7347.51</v>
      </c>
      <c r="L204" s="1328">
        <v>2209.01</v>
      </c>
      <c r="M204" s="1031">
        <v>3617.9</v>
      </c>
      <c r="N204" s="108">
        <f t="shared" si="117"/>
        <v>5938.620000000001</v>
      </c>
      <c r="O204" s="301">
        <f t="shared" si="111"/>
        <v>441.5599999999997</v>
      </c>
      <c r="P204" s="301">
        <v>15.55</v>
      </c>
      <c r="Q204" s="263"/>
      <c r="R204" s="636">
        <v>9.79</v>
      </c>
      <c r="S204" s="301">
        <f t="shared" si="118"/>
        <v>447.3199999999997</v>
      </c>
      <c r="T204" s="252">
        <f t="shared" si="119"/>
        <v>9.79</v>
      </c>
      <c r="U204" s="252">
        <f t="shared" si="120"/>
        <v>3617.9</v>
      </c>
      <c r="V204" s="252">
        <f t="shared" si="121"/>
        <v>0</v>
      </c>
      <c r="W204" s="253">
        <f t="shared" si="122"/>
        <v>3627.69</v>
      </c>
      <c r="X204" s="249">
        <f t="shared" si="112"/>
        <v>194.79999999999998</v>
      </c>
      <c r="Y204" s="250">
        <f t="shared" si="113"/>
        <v>3617.9</v>
      </c>
      <c r="Z204" s="250">
        <f t="shared" si="114"/>
        <v>0</v>
      </c>
      <c r="AA204" s="622">
        <f t="shared" si="123"/>
        <v>3812.7000000000003</v>
      </c>
      <c r="AB204" s="620">
        <f t="shared" si="124"/>
        <v>3617.9</v>
      </c>
      <c r="AC204" s="270">
        <f t="shared" si="125"/>
        <v>41383.450000000004</v>
      </c>
      <c r="AD204" s="444">
        <f t="shared" si="126"/>
        <v>37661.25</v>
      </c>
      <c r="AE204" s="1334">
        <f t="shared" si="127"/>
        <v>34043.35</v>
      </c>
    </row>
    <row r="205" spans="1:31" ht="18.75">
      <c r="A205" s="73" t="s">
        <v>16</v>
      </c>
      <c r="B205" s="74">
        <f t="shared" si="108"/>
        <v>37860.29000000008</v>
      </c>
      <c r="C205" s="428">
        <v>31868.05</v>
      </c>
      <c r="D205" s="74">
        <v>30443.41</v>
      </c>
      <c r="E205" s="74"/>
      <c r="F205" s="74">
        <f t="shared" si="115"/>
        <v>39284.93000000008</v>
      </c>
      <c r="G205" s="258">
        <f t="shared" si="109"/>
        <v>0</v>
      </c>
      <c r="H205" s="1076"/>
      <c r="I205" s="1030"/>
      <c r="J205" s="285">
        <f t="shared" si="116"/>
        <v>0</v>
      </c>
      <c r="K205" s="302">
        <f t="shared" si="110"/>
        <v>1820.4800000000018</v>
      </c>
      <c r="L205" s="1328">
        <v>328.3</v>
      </c>
      <c r="M205" s="1031"/>
      <c r="N205" s="108">
        <f t="shared" si="117"/>
        <v>2148.780000000002</v>
      </c>
      <c r="O205" s="301">
        <f t="shared" si="111"/>
        <v>133.56</v>
      </c>
      <c r="P205" s="301">
        <v>0.57</v>
      </c>
      <c r="Q205" s="263"/>
      <c r="R205" s="636">
        <v>52.97</v>
      </c>
      <c r="S205" s="301">
        <f t="shared" si="118"/>
        <v>81.16</v>
      </c>
      <c r="T205" s="252">
        <f t="shared" si="119"/>
        <v>52.97</v>
      </c>
      <c r="U205" s="252">
        <f t="shared" si="120"/>
        <v>0</v>
      </c>
      <c r="V205" s="252">
        <f t="shared" si="121"/>
        <v>0</v>
      </c>
      <c r="W205" s="253">
        <f t="shared" si="122"/>
        <v>52.97</v>
      </c>
      <c r="X205" s="249">
        <f t="shared" si="112"/>
        <v>58.22</v>
      </c>
      <c r="Y205" s="250">
        <f t="shared" si="113"/>
        <v>0</v>
      </c>
      <c r="Z205" s="250">
        <f t="shared" si="114"/>
        <v>0</v>
      </c>
      <c r="AA205" s="622">
        <f t="shared" si="123"/>
        <v>58.22</v>
      </c>
      <c r="AB205" s="620">
        <f t="shared" si="124"/>
        <v>0</v>
      </c>
      <c r="AC205" s="270">
        <f t="shared" si="125"/>
        <v>32196.92</v>
      </c>
      <c r="AD205" s="444">
        <f t="shared" si="126"/>
        <v>30496.38</v>
      </c>
      <c r="AE205" s="1334">
        <f t="shared" si="127"/>
        <v>30496.38</v>
      </c>
    </row>
    <row r="206" spans="1:31" ht="18.75">
      <c r="A206" s="73" t="s">
        <v>17</v>
      </c>
      <c r="B206" s="74">
        <f t="shared" si="108"/>
        <v>63001.860000000306</v>
      </c>
      <c r="C206" s="428">
        <v>41492.76</v>
      </c>
      <c r="D206" s="74">
        <v>45489.63</v>
      </c>
      <c r="E206" s="74"/>
      <c r="F206" s="74">
        <f t="shared" si="115"/>
        <v>59004.99000000032</v>
      </c>
      <c r="G206" s="258">
        <f t="shared" si="109"/>
        <v>6450.99</v>
      </c>
      <c r="H206" s="1076">
        <v>415.61</v>
      </c>
      <c r="I206" s="1030"/>
      <c r="J206" s="285">
        <f t="shared" si="116"/>
        <v>6866.599999999999</v>
      </c>
      <c r="K206" s="302">
        <f t="shared" si="110"/>
        <v>1318.6299999999997</v>
      </c>
      <c r="L206" s="1328">
        <v>699.06</v>
      </c>
      <c r="M206" s="1031">
        <v>699.06</v>
      </c>
      <c r="N206" s="108">
        <f t="shared" si="117"/>
        <v>1318.6299999999997</v>
      </c>
      <c r="O206" s="301">
        <f t="shared" si="111"/>
        <v>80.36000000000003</v>
      </c>
      <c r="P206" s="301">
        <v>77.5</v>
      </c>
      <c r="Q206" s="263"/>
      <c r="R206" s="636">
        <v>77.5</v>
      </c>
      <c r="S206" s="301">
        <f t="shared" si="118"/>
        <v>80.36000000000001</v>
      </c>
      <c r="T206" s="252">
        <v>16.48</v>
      </c>
      <c r="U206" s="252">
        <f t="shared" si="120"/>
        <v>699.06</v>
      </c>
      <c r="V206" s="252">
        <f t="shared" si="121"/>
        <v>0</v>
      </c>
      <c r="W206" s="253">
        <f t="shared" si="122"/>
        <v>715.54</v>
      </c>
      <c r="X206" s="249">
        <f t="shared" si="112"/>
        <v>137.25</v>
      </c>
      <c r="Y206" s="250">
        <f t="shared" si="113"/>
        <v>2097.18</v>
      </c>
      <c r="Z206" s="250">
        <f t="shared" si="114"/>
        <v>368.35</v>
      </c>
      <c r="AA206" s="622">
        <f t="shared" si="123"/>
        <v>2602.7799999999997</v>
      </c>
      <c r="AB206" s="620">
        <f t="shared" si="124"/>
        <v>2465.5299999999997</v>
      </c>
      <c r="AC206" s="270">
        <f t="shared" si="125"/>
        <v>42684.93</v>
      </c>
      <c r="AD206" s="444">
        <f t="shared" si="126"/>
        <v>46266.189999999995</v>
      </c>
      <c r="AE206" s="1334">
        <f t="shared" si="127"/>
        <v>45567.13</v>
      </c>
    </row>
    <row r="207" spans="1:31" ht="18.75">
      <c r="A207" s="73" t="s">
        <v>18</v>
      </c>
      <c r="B207" s="74">
        <f t="shared" si="108"/>
        <v>165211.92000000004</v>
      </c>
      <c r="C207" s="428">
        <v>88447.18</v>
      </c>
      <c r="D207" s="74">
        <v>89025.71</v>
      </c>
      <c r="E207" s="74"/>
      <c r="F207" s="74">
        <f t="shared" si="115"/>
        <v>164633.39</v>
      </c>
      <c r="G207" s="258">
        <f t="shared" si="109"/>
        <v>492.3699999999986</v>
      </c>
      <c r="H207" s="1076"/>
      <c r="I207" s="1030"/>
      <c r="J207" s="285">
        <f t="shared" si="116"/>
        <v>492.3699999999986</v>
      </c>
      <c r="K207" s="302">
        <f t="shared" si="110"/>
        <v>2793.3899999999985</v>
      </c>
      <c r="L207" s="1328">
        <v>2704.76</v>
      </c>
      <c r="M207" s="1031">
        <v>200.33</v>
      </c>
      <c r="N207" s="108">
        <f t="shared" si="117"/>
        <v>5297.819999999999</v>
      </c>
      <c r="O207" s="301">
        <f t="shared" si="111"/>
        <v>682.52</v>
      </c>
      <c r="P207" s="301">
        <v>163.09</v>
      </c>
      <c r="Q207" s="263"/>
      <c r="R207" s="636">
        <v>146.98</v>
      </c>
      <c r="S207" s="301">
        <f t="shared" si="118"/>
        <v>698.63</v>
      </c>
      <c r="T207" s="252">
        <f t="shared" si="119"/>
        <v>146.98</v>
      </c>
      <c r="U207" s="252">
        <f t="shared" si="120"/>
        <v>200.33</v>
      </c>
      <c r="V207" s="252">
        <f t="shared" si="121"/>
        <v>0</v>
      </c>
      <c r="W207" s="253">
        <f t="shared" si="122"/>
        <v>347.31</v>
      </c>
      <c r="X207" s="249">
        <f t="shared" si="112"/>
        <v>391.41999999999996</v>
      </c>
      <c r="Y207" s="250">
        <f t="shared" si="113"/>
        <v>5006.5</v>
      </c>
      <c r="Z207" s="250">
        <f t="shared" si="114"/>
        <v>347.68</v>
      </c>
      <c r="AA207" s="622">
        <f t="shared" si="123"/>
        <v>5745.6</v>
      </c>
      <c r="AB207" s="620">
        <f t="shared" si="124"/>
        <v>5354.18</v>
      </c>
      <c r="AC207" s="270">
        <f t="shared" si="125"/>
        <v>91315.02999999998</v>
      </c>
      <c r="AD207" s="444">
        <f t="shared" si="126"/>
        <v>89373.02</v>
      </c>
      <c r="AE207" s="1334">
        <f t="shared" si="127"/>
        <v>89172.69</v>
      </c>
    </row>
    <row r="208" spans="1:31" ht="18.75">
      <c r="A208" s="73" t="s">
        <v>54</v>
      </c>
      <c r="B208" s="74">
        <f t="shared" si="108"/>
        <v>58265.95000000036</v>
      </c>
      <c r="C208" s="428">
        <v>37931.1</v>
      </c>
      <c r="D208" s="74">
        <v>40962.43</v>
      </c>
      <c r="E208" s="74"/>
      <c r="F208" s="74">
        <f t="shared" si="115"/>
        <v>55234.62000000037</v>
      </c>
      <c r="G208" s="258">
        <f t="shared" si="109"/>
        <v>5307.040000000003</v>
      </c>
      <c r="H208" s="1076">
        <v>295.41</v>
      </c>
      <c r="I208" s="1030"/>
      <c r="J208" s="285">
        <f t="shared" si="116"/>
        <v>5602.450000000003</v>
      </c>
      <c r="K208" s="302">
        <f t="shared" si="110"/>
        <v>0</v>
      </c>
      <c r="L208" s="1328"/>
      <c r="M208" s="1031"/>
      <c r="N208" s="108">
        <f t="shared" si="117"/>
        <v>0</v>
      </c>
      <c r="O208" s="301">
        <f t="shared" si="111"/>
        <v>-1115.13</v>
      </c>
      <c r="P208" s="301">
        <v>17.21</v>
      </c>
      <c r="Q208" s="263"/>
      <c r="R208" s="636">
        <v>16.62</v>
      </c>
      <c r="S208" s="301">
        <f t="shared" si="118"/>
        <v>-1114.54</v>
      </c>
      <c r="T208" s="252">
        <f t="shared" si="119"/>
        <v>16.62</v>
      </c>
      <c r="U208" s="252">
        <f t="shared" si="120"/>
        <v>0</v>
      </c>
      <c r="V208" s="252">
        <f t="shared" si="121"/>
        <v>0</v>
      </c>
      <c r="W208" s="253">
        <f t="shared" si="122"/>
        <v>16.62</v>
      </c>
      <c r="X208" s="249">
        <f t="shared" si="112"/>
        <v>140.56</v>
      </c>
      <c r="Y208" s="250">
        <f t="shared" si="113"/>
        <v>0</v>
      </c>
      <c r="Z208" s="250">
        <f t="shared" si="114"/>
        <v>442.02</v>
      </c>
      <c r="AA208" s="622">
        <f t="shared" si="123"/>
        <v>582.5799999999999</v>
      </c>
      <c r="AB208" s="620">
        <f t="shared" si="124"/>
        <v>442.02</v>
      </c>
      <c r="AC208" s="270">
        <f t="shared" si="125"/>
        <v>38243.72</v>
      </c>
      <c r="AD208" s="444">
        <f t="shared" si="126"/>
        <v>40979.05</v>
      </c>
      <c r="AE208" s="1334">
        <f t="shared" si="127"/>
        <v>40979.05</v>
      </c>
    </row>
    <row r="209" spans="1:31" ht="18.75">
      <c r="A209" s="73" t="s">
        <v>49</v>
      </c>
      <c r="B209" s="74">
        <f t="shared" si="108"/>
        <v>211326.29000000015</v>
      </c>
      <c r="C209" s="428">
        <v>80671.41</v>
      </c>
      <c r="D209" s="74">
        <v>80008.77</v>
      </c>
      <c r="E209" s="74"/>
      <c r="F209" s="74">
        <f t="shared" si="115"/>
        <v>211988.93000000017</v>
      </c>
      <c r="G209" s="258">
        <f t="shared" si="109"/>
        <v>14312.860000000004</v>
      </c>
      <c r="H209" s="1076">
        <v>922.12</v>
      </c>
      <c r="I209" s="1030"/>
      <c r="J209" s="285">
        <f t="shared" si="116"/>
        <v>15234.980000000005</v>
      </c>
      <c r="K209" s="302">
        <f t="shared" si="110"/>
        <v>4962.960000000004</v>
      </c>
      <c r="L209" s="1328">
        <v>4017.96</v>
      </c>
      <c r="M209" s="1031">
        <v>4017.96</v>
      </c>
      <c r="N209" s="108">
        <f t="shared" si="117"/>
        <v>4962.960000000004</v>
      </c>
      <c r="O209" s="301">
        <f t="shared" si="111"/>
        <v>-836.6700000000001</v>
      </c>
      <c r="P209" s="301">
        <v>130.63</v>
      </c>
      <c r="Q209" s="263"/>
      <c r="R209" s="636">
        <v>101.55</v>
      </c>
      <c r="S209" s="301">
        <f t="shared" si="118"/>
        <v>-807.59</v>
      </c>
      <c r="T209" s="252">
        <f t="shared" si="119"/>
        <v>101.55</v>
      </c>
      <c r="U209" s="252">
        <f t="shared" si="120"/>
        <v>4017.96</v>
      </c>
      <c r="V209" s="252">
        <f t="shared" si="121"/>
        <v>0</v>
      </c>
      <c r="W209" s="253">
        <f t="shared" si="122"/>
        <v>4119.51</v>
      </c>
      <c r="X209" s="249">
        <f t="shared" si="112"/>
        <v>213.06</v>
      </c>
      <c r="Y209" s="250">
        <f t="shared" si="113"/>
        <v>12307.439999999999</v>
      </c>
      <c r="Z209" s="250">
        <f t="shared" si="114"/>
        <v>817.26</v>
      </c>
      <c r="AA209" s="622">
        <f t="shared" si="123"/>
        <v>13337.759999999998</v>
      </c>
      <c r="AB209" s="620">
        <f t="shared" si="124"/>
        <v>13124.699999999999</v>
      </c>
      <c r="AC209" s="270">
        <f t="shared" si="125"/>
        <v>85742.12000000001</v>
      </c>
      <c r="AD209" s="444">
        <f t="shared" si="126"/>
        <v>84128.28000000001</v>
      </c>
      <c r="AE209" s="1334">
        <f t="shared" si="127"/>
        <v>80110.32</v>
      </c>
    </row>
    <row r="210" spans="1:31" ht="18.75">
      <c r="A210" s="73" t="s">
        <v>19</v>
      </c>
      <c r="B210" s="74">
        <f t="shared" si="108"/>
        <v>97549.51999999996</v>
      </c>
      <c r="C210" s="428">
        <v>59520.68</v>
      </c>
      <c r="D210" s="74">
        <v>58020.79</v>
      </c>
      <c r="E210" s="74"/>
      <c r="F210" s="74">
        <f t="shared" si="115"/>
        <v>99049.40999999995</v>
      </c>
      <c r="G210" s="258">
        <f t="shared" si="109"/>
        <v>6652.339999999997</v>
      </c>
      <c r="H210" s="1076">
        <v>402.45</v>
      </c>
      <c r="I210" s="1030"/>
      <c r="J210" s="285">
        <f t="shared" si="116"/>
        <v>7054.789999999997</v>
      </c>
      <c r="K210" s="302">
        <f t="shared" si="110"/>
        <v>1194.560000000001</v>
      </c>
      <c r="L210" s="1328">
        <v>1175.67</v>
      </c>
      <c r="M210" s="1031">
        <v>413.22</v>
      </c>
      <c r="N210" s="108">
        <f t="shared" si="117"/>
        <v>1957.0100000000014</v>
      </c>
      <c r="O210" s="301">
        <f t="shared" si="111"/>
        <v>-131.25999999999965</v>
      </c>
      <c r="P210" s="301">
        <v>53.93</v>
      </c>
      <c r="Q210" s="263"/>
      <c r="R210" s="636">
        <v>38.48</v>
      </c>
      <c r="S210" s="301">
        <f t="shared" si="118"/>
        <v>-115.80999999999963</v>
      </c>
      <c r="T210" s="252">
        <f t="shared" si="119"/>
        <v>38.48</v>
      </c>
      <c r="U210" s="252">
        <f t="shared" si="120"/>
        <v>413.22</v>
      </c>
      <c r="V210" s="252">
        <f t="shared" si="121"/>
        <v>0</v>
      </c>
      <c r="W210" s="253">
        <f t="shared" si="122"/>
        <v>451.70000000000005</v>
      </c>
      <c r="X210" s="249">
        <f t="shared" si="112"/>
        <v>58.89</v>
      </c>
      <c r="Y210" s="250">
        <f t="shared" si="113"/>
        <v>2344.17</v>
      </c>
      <c r="Z210" s="250">
        <f t="shared" si="114"/>
        <v>356.69</v>
      </c>
      <c r="AA210" s="622">
        <f t="shared" si="123"/>
        <v>2759.75</v>
      </c>
      <c r="AB210" s="620">
        <f t="shared" si="124"/>
        <v>2700.86</v>
      </c>
      <c r="AC210" s="270">
        <f t="shared" si="125"/>
        <v>61152.729999999996</v>
      </c>
      <c r="AD210" s="444">
        <f t="shared" si="126"/>
        <v>58472.490000000005</v>
      </c>
      <c r="AE210" s="1334">
        <f t="shared" si="127"/>
        <v>58059.270000000004</v>
      </c>
    </row>
    <row r="211" spans="1:31" ht="18.75">
      <c r="A211" s="80" t="s">
        <v>20</v>
      </c>
      <c r="B211" s="74">
        <f t="shared" si="108"/>
        <v>69067.20000000008</v>
      </c>
      <c r="C211" s="450">
        <v>38671.41</v>
      </c>
      <c r="D211" s="131">
        <v>39687.34</v>
      </c>
      <c r="E211" s="131"/>
      <c r="F211" s="74">
        <f t="shared" si="115"/>
        <v>68051.27000000009</v>
      </c>
      <c r="G211" s="258">
        <f t="shared" si="109"/>
        <v>0</v>
      </c>
      <c r="H211" s="1326"/>
      <c r="I211" s="1030"/>
      <c r="J211" s="285">
        <f t="shared" si="116"/>
        <v>0</v>
      </c>
      <c r="K211" s="302">
        <f t="shared" si="110"/>
        <v>4120.469999999999</v>
      </c>
      <c r="L211" s="1329">
        <v>777.4</v>
      </c>
      <c r="M211" s="914">
        <v>3109.6</v>
      </c>
      <c r="N211" s="108">
        <f t="shared" si="117"/>
        <v>1788.269999999999</v>
      </c>
      <c r="O211" s="301">
        <f t="shared" si="111"/>
        <v>105.48999999999995</v>
      </c>
      <c r="P211" s="480">
        <v>69.82</v>
      </c>
      <c r="Q211" s="264"/>
      <c r="R211" s="637">
        <v>57.03</v>
      </c>
      <c r="S211" s="301">
        <f t="shared" si="118"/>
        <v>118.27999999999994</v>
      </c>
      <c r="T211" s="411">
        <f t="shared" si="119"/>
        <v>57.03</v>
      </c>
      <c r="U211" s="411">
        <f t="shared" si="120"/>
        <v>3109.6</v>
      </c>
      <c r="V211" s="411">
        <f t="shared" si="121"/>
        <v>0</v>
      </c>
      <c r="W211" s="413">
        <f t="shared" si="122"/>
        <v>3166.63</v>
      </c>
      <c r="X211" s="249">
        <f t="shared" si="112"/>
        <v>137</v>
      </c>
      <c r="Y211" s="250">
        <f t="shared" si="113"/>
        <v>4487.6</v>
      </c>
      <c r="Z211" s="247">
        <f t="shared" si="114"/>
        <v>0</v>
      </c>
      <c r="AA211" s="622">
        <f t="shared" si="123"/>
        <v>4624.6</v>
      </c>
      <c r="AB211" s="620">
        <f t="shared" si="124"/>
        <v>4487.6</v>
      </c>
      <c r="AC211" s="270">
        <f t="shared" si="125"/>
        <v>39518.630000000005</v>
      </c>
      <c r="AD211" s="444">
        <f t="shared" si="126"/>
        <v>42853.969999999994</v>
      </c>
      <c r="AE211" s="1334">
        <f t="shared" si="127"/>
        <v>39744.369999999995</v>
      </c>
    </row>
    <row r="212" spans="1:31" ht="18.75">
      <c r="A212" s="80" t="s">
        <v>114</v>
      </c>
      <c r="B212" s="74">
        <f t="shared" si="108"/>
        <v>-435819.6600000005</v>
      </c>
      <c r="C212" s="450">
        <v>47606.78</v>
      </c>
      <c r="D212" s="131">
        <v>51686.23</v>
      </c>
      <c r="E212" s="131"/>
      <c r="F212" s="74">
        <f t="shared" si="115"/>
        <v>-439899.11000000045</v>
      </c>
      <c r="G212" s="258">
        <f t="shared" si="109"/>
        <v>1212.76</v>
      </c>
      <c r="H212" s="359">
        <v>303.19</v>
      </c>
      <c r="I212" s="1030"/>
      <c r="J212" s="285">
        <f t="shared" si="116"/>
        <v>1515.95</v>
      </c>
      <c r="K212" s="302">
        <f t="shared" si="110"/>
        <v>0</v>
      </c>
      <c r="L212" s="1328">
        <v>789.96</v>
      </c>
      <c r="M212" s="1031"/>
      <c r="N212" s="108">
        <f t="shared" si="117"/>
        <v>789.96</v>
      </c>
      <c r="O212" s="301">
        <f t="shared" si="111"/>
        <v>-38.96000000000001</v>
      </c>
      <c r="P212" s="480">
        <v>54.82</v>
      </c>
      <c r="Q212" s="264"/>
      <c r="R212" s="637">
        <v>58.4</v>
      </c>
      <c r="S212" s="301">
        <f t="shared" si="118"/>
        <v>-42.540000000000006</v>
      </c>
      <c r="T212" s="411">
        <f t="shared" si="119"/>
        <v>58.4</v>
      </c>
      <c r="U212" s="411">
        <f t="shared" si="120"/>
        <v>0</v>
      </c>
      <c r="V212" s="411">
        <f t="shared" si="121"/>
        <v>0</v>
      </c>
      <c r="W212" s="413">
        <f t="shared" si="122"/>
        <v>58.4</v>
      </c>
      <c r="X212" s="249">
        <f t="shared" si="112"/>
        <v>147.81</v>
      </c>
      <c r="Y212" s="250">
        <f t="shared" si="113"/>
        <v>3997.64</v>
      </c>
      <c r="Z212" s="247">
        <f t="shared" si="114"/>
        <v>268.71</v>
      </c>
      <c r="AA212" s="622">
        <f t="shared" si="123"/>
        <v>4414.16</v>
      </c>
      <c r="AB212" s="620">
        <f t="shared" si="124"/>
        <v>4266.349999999999</v>
      </c>
      <c r="AC212" s="270">
        <f t="shared" si="125"/>
        <v>48754.75</v>
      </c>
      <c r="AD212" s="444">
        <f t="shared" si="126"/>
        <v>51744.630000000005</v>
      </c>
      <c r="AE212" s="1334">
        <f t="shared" si="127"/>
        <v>51744.630000000005</v>
      </c>
    </row>
    <row r="213" spans="1:31" ht="18.75">
      <c r="A213" s="80" t="s">
        <v>124</v>
      </c>
      <c r="B213" s="74">
        <f t="shared" si="108"/>
        <v>22742.319999999934</v>
      </c>
      <c r="C213" s="450">
        <v>16815.18</v>
      </c>
      <c r="D213" s="131">
        <v>15393.05</v>
      </c>
      <c r="E213" s="131"/>
      <c r="F213" s="74">
        <f t="shared" si="115"/>
        <v>24164.449999999935</v>
      </c>
      <c r="G213" s="258">
        <f t="shared" si="109"/>
        <v>0</v>
      </c>
      <c r="H213" s="1079"/>
      <c r="I213" s="1030"/>
      <c r="J213" s="285">
        <f t="shared" si="116"/>
        <v>0</v>
      </c>
      <c r="K213" s="302">
        <f t="shared" si="110"/>
        <v>0</v>
      </c>
      <c r="L213" s="1330"/>
      <c r="M213" s="1032"/>
      <c r="N213" s="108">
        <f t="shared" si="117"/>
        <v>0</v>
      </c>
      <c r="O213" s="301">
        <f t="shared" si="111"/>
        <v>-9.360000000000007</v>
      </c>
      <c r="P213" s="480">
        <v>2.79</v>
      </c>
      <c r="Q213" s="264"/>
      <c r="R213" s="637">
        <v>2.79</v>
      </c>
      <c r="S213" s="301">
        <f t="shared" si="118"/>
        <v>-9.360000000000007</v>
      </c>
      <c r="T213" s="411">
        <f t="shared" si="119"/>
        <v>2.79</v>
      </c>
      <c r="U213" s="411">
        <f t="shared" si="120"/>
        <v>0</v>
      </c>
      <c r="V213" s="411">
        <f t="shared" si="121"/>
        <v>0</v>
      </c>
      <c r="W213" s="413">
        <f t="shared" si="122"/>
        <v>2.79</v>
      </c>
      <c r="X213" s="249">
        <f t="shared" si="112"/>
        <v>89.09</v>
      </c>
      <c r="Y213" s="250">
        <f t="shared" si="113"/>
        <v>0</v>
      </c>
      <c r="Z213" s="247">
        <f t="shared" si="114"/>
        <v>0</v>
      </c>
      <c r="AA213" s="622">
        <f t="shared" si="123"/>
        <v>89.09</v>
      </c>
      <c r="AB213" s="620">
        <f t="shared" si="124"/>
        <v>0</v>
      </c>
      <c r="AC213" s="270">
        <f t="shared" si="125"/>
        <v>16817.97</v>
      </c>
      <c r="AD213" s="444">
        <f t="shared" si="126"/>
        <v>15395.84</v>
      </c>
      <c r="AE213" s="1334">
        <f t="shared" si="127"/>
        <v>15395.84</v>
      </c>
    </row>
    <row r="214" spans="1:31" ht="18.75">
      <c r="A214" s="708" t="s">
        <v>188</v>
      </c>
      <c r="B214" s="74">
        <f t="shared" si="108"/>
        <v>22965.939999999944</v>
      </c>
      <c r="C214" s="702">
        <v>44632.29</v>
      </c>
      <c r="D214" s="702">
        <v>49358.12</v>
      </c>
      <c r="E214" s="450"/>
      <c r="F214" s="74">
        <f t="shared" si="115"/>
        <v>18240.10999999995</v>
      </c>
      <c r="G214" s="258">
        <f t="shared" si="109"/>
        <v>4241.0199999999995</v>
      </c>
      <c r="H214" s="1079">
        <v>382.12</v>
      </c>
      <c r="I214" s="1030"/>
      <c r="J214" s="285">
        <f t="shared" si="116"/>
        <v>4623.139999999999</v>
      </c>
      <c r="K214" s="302">
        <f t="shared" si="110"/>
        <v>-54875.03</v>
      </c>
      <c r="L214" s="1330">
        <v>2463.16</v>
      </c>
      <c r="M214" s="914">
        <v>4304.84</v>
      </c>
      <c r="N214" s="108">
        <f t="shared" si="117"/>
        <v>-56716.70999999999</v>
      </c>
      <c r="O214" s="301">
        <f t="shared" si="111"/>
        <v>-4848.030000000001</v>
      </c>
      <c r="P214" s="637">
        <v>255.36</v>
      </c>
      <c r="Q214" s="480"/>
      <c r="R214" s="637">
        <v>251.19</v>
      </c>
      <c r="S214" s="301">
        <f t="shared" si="118"/>
        <v>-4843.860000000001</v>
      </c>
      <c r="T214" s="411">
        <f t="shared" si="119"/>
        <v>251.19</v>
      </c>
      <c r="U214" s="411">
        <f t="shared" si="120"/>
        <v>4304.84</v>
      </c>
      <c r="V214" s="411">
        <f t="shared" si="121"/>
        <v>0</v>
      </c>
      <c r="W214" s="413">
        <f t="shared" si="122"/>
        <v>4556.03</v>
      </c>
      <c r="X214" s="249">
        <f t="shared" si="112"/>
        <v>367.74</v>
      </c>
      <c r="Y214" s="250">
        <f t="shared" si="113"/>
        <v>58689.130000000005</v>
      </c>
      <c r="Z214" s="247">
        <f t="shared" si="114"/>
        <v>0</v>
      </c>
      <c r="AA214" s="622">
        <f t="shared" si="123"/>
        <v>59056.87</v>
      </c>
      <c r="AB214" s="620">
        <f t="shared" si="124"/>
        <v>58689.130000000005</v>
      </c>
      <c r="AC214" s="270">
        <f t="shared" si="125"/>
        <v>47732.93000000001</v>
      </c>
      <c r="AD214" s="444">
        <f t="shared" si="126"/>
        <v>53914.15000000001</v>
      </c>
      <c r="AE214" s="1334">
        <f t="shared" si="127"/>
        <v>49609.310000000005</v>
      </c>
    </row>
    <row r="215" spans="1:31" ht="18.75">
      <c r="A215" s="708" t="s">
        <v>189</v>
      </c>
      <c r="B215" s="74">
        <f t="shared" si="108"/>
        <v>87134.22000000003</v>
      </c>
      <c r="C215" s="702">
        <v>51798.79</v>
      </c>
      <c r="D215" s="702">
        <v>61778.03</v>
      </c>
      <c r="E215" s="450"/>
      <c r="F215" s="74">
        <f t="shared" si="115"/>
        <v>77154.98000000004</v>
      </c>
      <c r="G215" s="258">
        <f t="shared" si="109"/>
        <v>16628.2</v>
      </c>
      <c r="H215" s="1079">
        <v>2127.68</v>
      </c>
      <c r="I215" s="1030"/>
      <c r="J215" s="285">
        <f t="shared" si="116"/>
        <v>18755.88</v>
      </c>
      <c r="K215" s="302">
        <f t="shared" si="110"/>
        <v>-13804.07</v>
      </c>
      <c r="L215" s="1330">
        <v>3155.64</v>
      </c>
      <c r="M215" s="914">
        <v>3164.6</v>
      </c>
      <c r="N215" s="108">
        <f t="shared" si="117"/>
        <v>-13813.03</v>
      </c>
      <c r="O215" s="301">
        <f t="shared" si="111"/>
        <v>-46781.98999999998</v>
      </c>
      <c r="P215" s="637">
        <v>39.27</v>
      </c>
      <c r="Q215" s="480"/>
      <c r="R215" s="637">
        <f>79.08+1429.32</f>
        <v>1508.3999999999999</v>
      </c>
      <c r="S215" s="301">
        <f t="shared" si="118"/>
        <v>-48251.11999999999</v>
      </c>
      <c r="T215" s="411">
        <f t="shared" si="119"/>
        <v>1508.3999999999999</v>
      </c>
      <c r="U215" s="411">
        <f t="shared" si="120"/>
        <v>3164.6</v>
      </c>
      <c r="V215" s="411">
        <f t="shared" si="121"/>
        <v>0</v>
      </c>
      <c r="W215" s="413">
        <f t="shared" si="122"/>
        <v>4673</v>
      </c>
      <c r="X215" s="249">
        <f t="shared" si="112"/>
        <v>1630.83</v>
      </c>
      <c r="Y215" s="250">
        <f t="shared" si="113"/>
        <v>4566.98</v>
      </c>
      <c r="Z215" s="247">
        <f t="shared" si="114"/>
        <v>0</v>
      </c>
      <c r="AA215" s="622">
        <f t="shared" si="123"/>
        <v>6197.8099999999995</v>
      </c>
      <c r="AB215" s="620">
        <f t="shared" si="124"/>
        <v>4566.98</v>
      </c>
      <c r="AC215" s="270">
        <f t="shared" si="125"/>
        <v>57121.38</v>
      </c>
      <c r="AD215" s="444">
        <f t="shared" si="126"/>
        <v>66451.03</v>
      </c>
      <c r="AE215" s="1334">
        <f t="shared" si="127"/>
        <v>63286.43</v>
      </c>
    </row>
    <row r="216" spans="1:31" ht="18.75">
      <c r="A216" s="708" t="s">
        <v>251</v>
      </c>
      <c r="B216" s="74">
        <f t="shared" si="108"/>
        <v>106120.78000000004</v>
      </c>
      <c r="C216" s="702">
        <v>47756.29</v>
      </c>
      <c r="D216" s="702">
        <v>50285.95</v>
      </c>
      <c r="E216" s="450"/>
      <c r="F216" s="74">
        <f t="shared" si="115"/>
        <v>103591.12000000004</v>
      </c>
      <c r="G216" s="258">
        <f t="shared" si="109"/>
        <v>0</v>
      </c>
      <c r="H216" s="1079"/>
      <c r="I216" s="1030"/>
      <c r="J216" s="285">
        <f t="shared" si="116"/>
        <v>0</v>
      </c>
      <c r="K216" s="302">
        <f t="shared" si="110"/>
        <v>-62945.81</v>
      </c>
      <c r="L216" s="1330"/>
      <c r="M216" s="914"/>
      <c r="N216" s="108">
        <f t="shared" si="117"/>
        <v>-62945.81</v>
      </c>
      <c r="O216" s="301">
        <f t="shared" si="111"/>
        <v>-60376.990000000005</v>
      </c>
      <c r="P216" s="637">
        <v>42.62</v>
      </c>
      <c r="Q216" s="480"/>
      <c r="R216" s="637">
        <f>42.62+187.93</f>
        <v>230.55</v>
      </c>
      <c r="S216" s="301">
        <f t="shared" si="118"/>
        <v>-60564.920000000006</v>
      </c>
      <c r="T216" s="411">
        <f t="shared" si="119"/>
        <v>230.55</v>
      </c>
      <c r="U216" s="411">
        <f t="shared" si="120"/>
        <v>0</v>
      </c>
      <c r="V216" s="411">
        <f t="shared" si="121"/>
        <v>0</v>
      </c>
      <c r="W216" s="413">
        <f t="shared" si="122"/>
        <v>230.55</v>
      </c>
      <c r="X216" s="249">
        <f t="shared" si="112"/>
        <v>2119.06</v>
      </c>
      <c r="Y216" s="250">
        <f t="shared" si="113"/>
        <v>2174.33</v>
      </c>
      <c r="Z216" s="247">
        <f t="shared" si="114"/>
        <v>0</v>
      </c>
      <c r="AA216" s="622">
        <f t="shared" si="123"/>
        <v>4293.389999999999</v>
      </c>
      <c r="AB216" s="620">
        <f t="shared" si="124"/>
        <v>2174.33</v>
      </c>
      <c r="AC216" s="270">
        <f t="shared" si="125"/>
        <v>47798.91</v>
      </c>
      <c r="AD216" s="444">
        <f t="shared" si="126"/>
        <v>50516.5</v>
      </c>
      <c r="AE216" s="1334">
        <f t="shared" si="127"/>
        <v>50516.5</v>
      </c>
    </row>
    <row r="217" spans="1:31" ht="18.75">
      <c r="A217" s="708" t="s">
        <v>255</v>
      </c>
      <c r="B217" s="74">
        <f t="shared" si="108"/>
        <v>35725.37</v>
      </c>
      <c r="C217" s="702">
        <v>17768.29</v>
      </c>
      <c r="D217" s="702">
        <v>22113.54</v>
      </c>
      <c r="E217" s="450"/>
      <c r="F217" s="74">
        <f t="shared" si="115"/>
        <v>31380.120000000003</v>
      </c>
      <c r="G217" s="258">
        <f t="shared" si="109"/>
        <v>0</v>
      </c>
      <c r="H217" s="1079"/>
      <c r="I217" s="1030"/>
      <c r="J217" s="285">
        <f t="shared" si="116"/>
        <v>0</v>
      </c>
      <c r="K217" s="302">
        <f t="shared" si="110"/>
        <v>0</v>
      </c>
      <c r="L217" s="1330"/>
      <c r="M217" s="1033"/>
      <c r="N217" s="108">
        <f t="shared" si="117"/>
        <v>0</v>
      </c>
      <c r="O217" s="301">
        <f t="shared" si="111"/>
        <v>-3712.7000000000003</v>
      </c>
      <c r="P217" s="637">
        <v>25.43</v>
      </c>
      <c r="Q217" s="480"/>
      <c r="R217" s="637">
        <v>25.43</v>
      </c>
      <c r="S217" s="301">
        <f t="shared" si="118"/>
        <v>-3712.7000000000003</v>
      </c>
      <c r="T217" s="411">
        <f t="shared" si="119"/>
        <v>25.43</v>
      </c>
      <c r="U217" s="411">
        <f t="shared" si="120"/>
        <v>0</v>
      </c>
      <c r="V217" s="411">
        <f t="shared" si="121"/>
        <v>0</v>
      </c>
      <c r="W217" s="413">
        <f t="shared" si="122"/>
        <v>25.43</v>
      </c>
      <c r="X217" s="249">
        <f t="shared" si="112"/>
        <v>1845.1100000000001</v>
      </c>
      <c r="Y217" s="250">
        <f t="shared" si="113"/>
        <v>0</v>
      </c>
      <c r="Z217" s="247">
        <f t="shared" si="114"/>
        <v>0</v>
      </c>
      <c r="AA217" s="622">
        <f t="shared" si="123"/>
        <v>1845.1100000000001</v>
      </c>
      <c r="AB217" s="620">
        <f t="shared" si="124"/>
        <v>0</v>
      </c>
      <c r="AC217" s="270">
        <f t="shared" si="125"/>
        <v>17793.72</v>
      </c>
      <c r="AD217" s="444">
        <f t="shared" si="126"/>
        <v>22138.97</v>
      </c>
      <c r="AE217" s="1334">
        <f t="shared" si="127"/>
        <v>22138.97</v>
      </c>
    </row>
    <row r="218" spans="1:31" ht="18.75">
      <c r="A218" s="708" t="s">
        <v>304</v>
      </c>
      <c r="B218" s="74">
        <f t="shared" si="108"/>
        <v>363195.3899999998</v>
      </c>
      <c r="C218" s="702">
        <v>62555.87</v>
      </c>
      <c r="D218" s="702">
        <v>111145.09</v>
      </c>
      <c r="E218" s="450"/>
      <c r="F218" s="74">
        <f t="shared" si="115"/>
        <v>314606.1699999998</v>
      </c>
      <c r="G218" s="258">
        <f t="shared" si="109"/>
        <v>0</v>
      </c>
      <c r="H218" s="1079"/>
      <c r="I218" s="1030"/>
      <c r="J218" s="285">
        <f t="shared" si="116"/>
        <v>0</v>
      </c>
      <c r="K218" s="302">
        <f t="shared" si="110"/>
        <v>42.97999999999956</v>
      </c>
      <c r="L218" s="1330">
        <v>1889.09</v>
      </c>
      <c r="M218" s="1033">
        <v>1889.09</v>
      </c>
      <c r="N218" s="108">
        <f t="shared" si="117"/>
        <v>42.97999999999956</v>
      </c>
      <c r="O218" s="301">
        <f t="shared" si="111"/>
        <v>-22214.989999999998</v>
      </c>
      <c r="P218" s="637">
        <v>2659.94</v>
      </c>
      <c r="Q218" s="480"/>
      <c r="R218" s="637">
        <f>2689.53+11093.52</f>
        <v>13783.050000000001</v>
      </c>
      <c r="S218" s="301">
        <f t="shared" si="118"/>
        <v>-33338.1</v>
      </c>
      <c r="T218" s="411">
        <f t="shared" si="119"/>
        <v>13783.050000000001</v>
      </c>
      <c r="U218" s="411">
        <f t="shared" si="120"/>
        <v>1889.09</v>
      </c>
      <c r="V218" s="411">
        <f t="shared" si="121"/>
        <v>0</v>
      </c>
      <c r="W218" s="413">
        <f t="shared" si="122"/>
        <v>15672.140000000001</v>
      </c>
      <c r="X218" s="249">
        <f t="shared" si="112"/>
        <v>26493.730000000003</v>
      </c>
      <c r="Y218" s="250">
        <f t="shared" si="113"/>
        <v>5667.2699999999995</v>
      </c>
      <c r="Z218" s="247">
        <f t="shared" si="114"/>
        <v>0</v>
      </c>
      <c r="AA218" s="622">
        <f t="shared" si="123"/>
        <v>32161.000000000004</v>
      </c>
      <c r="AB218" s="620">
        <f t="shared" si="124"/>
        <v>5667.2699999999995</v>
      </c>
      <c r="AC218" s="270">
        <f t="shared" si="125"/>
        <v>67104.9</v>
      </c>
      <c r="AD218" s="444">
        <f t="shared" si="126"/>
        <v>126817.23</v>
      </c>
      <c r="AE218" s="1334">
        <f t="shared" si="127"/>
        <v>124928.14</v>
      </c>
    </row>
    <row r="219" spans="1:33" ht="18.75">
      <c r="A219" s="708" t="s">
        <v>321</v>
      </c>
      <c r="B219" s="74">
        <f t="shared" si="108"/>
        <v>353238.6999999999</v>
      </c>
      <c r="C219" s="702">
        <v>63992.51</v>
      </c>
      <c r="D219" s="702">
        <v>158233.27</v>
      </c>
      <c r="E219" s="450"/>
      <c r="F219" s="74">
        <f t="shared" si="115"/>
        <v>258997.93999999992</v>
      </c>
      <c r="G219" s="258">
        <f t="shared" si="109"/>
        <v>0</v>
      </c>
      <c r="H219" s="1079"/>
      <c r="I219" s="1030"/>
      <c r="J219" s="285">
        <f t="shared" si="116"/>
        <v>0</v>
      </c>
      <c r="K219" s="302">
        <f t="shared" si="110"/>
        <v>4389.370000000001</v>
      </c>
      <c r="L219" s="1330">
        <v>6247.31</v>
      </c>
      <c r="M219" s="1033">
        <v>7074.94</v>
      </c>
      <c r="N219" s="108">
        <f t="shared" si="117"/>
        <v>3561.7400000000007</v>
      </c>
      <c r="O219" s="301">
        <f t="shared" si="111"/>
        <v>-112251.5</v>
      </c>
      <c r="P219" s="637">
        <v>2732.09</v>
      </c>
      <c r="Q219" s="480"/>
      <c r="R219" s="637">
        <f>2785.21+21485.89</f>
        <v>24271.1</v>
      </c>
      <c r="S219" s="301">
        <f t="shared" si="118"/>
        <v>-133790.51</v>
      </c>
      <c r="T219" s="411">
        <f t="shared" si="119"/>
        <v>24271.1</v>
      </c>
      <c r="U219" s="411">
        <f t="shared" si="120"/>
        <v>7074.94</v>
      </c>
      <c r="V219" s="411">
        <f t="shared" si="121"/>
        <v>0</v>
      </c>
      <c r="W219" s="413">
        <f t="shared" si="122"/>
        <v>31346.039999999997</v>
      </c>
      <c r="X219" s="249">
        <f t="shared" si="112"/>
        <v>54098.759999999995</v>
      </c>
      <c r="Y219" s="250">
        <f t="shared" si="113"/>
        <v>22109.899999999998</v>
      </c>
      <c r="Z219" s="247">
        <f t="shared" si="114"/>
        <v>0</v>
      </c>
      <c r="AA219" s="622">
        <f t="shared" si="123"/>
        <v>76208.65999999999</v>
      </c>
      <c r="AB219" s="620">
        <f t="shared" si="124"/>
        <v>22109.899999999998</v>
      </c>
      <c r="AC219" s="270">
        <f t="shared" si="125"/>
        <v>72971.91</v>
      </c>
      <c r="AD219" s="444">
        <f t="shared" si="126"/>
        <v>189579.31</v>
      </c>
      <c r="AE219" s="1334">
        <f t="shared" si="127"/>
        <v>182504.37</v>
      </c>
      <c r="AG219" s="39">
        <f>Z65+Y96+AD127+Y158+Y189+AD220</f>
        <v>7235504.720000001</v>
      </c>
    </row>
    <row r="220" spans="1:31" ht="32.25" customHeight="1">
      <c r="A220" s="1302" t="s">
        <v>127</v>
      </c>
      <c r="B220" s="1303">
        <f>SUM(B193:B217)</f>
        <v>1755226.4900000016</v>
      </c>
      <c r="C220" s="1304">
        <f>SUM(C193:C219)</f>
        <v>1072422.6400000004</v>
      </c>
      <c r="D220" s="1304">
        <f>SUM(D193:D219)</f>
        <v>1242593.6700000002</v>
      </c>
      <c r="E220" s="1305"/>
      <c r="F220" s="1303">
        <f>SUM(F193:F219)</f>
        <v>2301489.550000001</v>
      </c>
      <c r="G220" s="1303">
        <f>SUM(G193:G217)</f>
        <v>164942.25999999998</v>
      </c>
      <c r="H220" s="1308">
        <f>SUM(H193:H219)</f>
        <v>10373.919999999998</v>
      </c>
      <c r="I220" s="1305"/>
      <c r="J220" s="1304">
        <f aca="true" t="shared" si="128" ref="J220:O220">SUM(J193:J219)</f>
        <v>175316.18</v>
      </c>
      <c r="K220" s="1304">
        <f t="shared" si="128"/>
        <v>-107558.61</v>
      </c>
      <c r="L220" s="1327">
        <f t="shared" si="128"/>
        <v>39086.079999999994</v>
      </c>
      <c r="M220" s="1303">
        <f t="shared" si="128"/>
        <v>37525.92</v>
      </c>
      <c r="N220" s="1306">
        <f t="shared" si="128"/>
        <v>-105998.44999999998</v>
      </c>
      <c r="O220" s="1303">
        <f t="shared" si="128"/>
        <v>-253398.41999999998</v>
      </c>
      <c r="P220" s="1304">
        <f>SUM(P193:P219)</f>
        <v>6929.78</v>
      </c>
      <c r="Q220" s="1307"/>
      <c r="R220" s="1308">
        <f>SUM(R193:R219)</f>
        <v>41250.020000000004</v>
      </c>
      <c r="S220" s="1304">
        <f>SUM(S193:S219)</f>
        <v>-287718.66000000003</v>
      </c>
      <c r="T220" s="1303">
        <f>SUM(T193:T219)</f>
        <v>41189</v>
      </c>
      <c r="U220" s="1303">
        <f>SUM(U193:U219)</f>
        <v>37525.92</v>
      </c>
      <c r="V220" s="1303">
        <f>SUM(V193:V217)</f>
        <v>0</v>
      </c>
      <c r="W220" s="1303">
        <f t="shared" si="122"/>
        <v>78714.92</v>
      </c>
      <c r="X220" s="1303">
        <f aca="true" t="shared" si="129" ref="X220:AE220">SUM(X193:X219)</f>
        <v>89533.29999999999</v>
      </c>
      <c r="Y220" s="1303">
        <f t="shared" si="129"/>
        <v>162835.99999999997</v>
      </c>
      <c r="Z220" s="1303">
        <f t="shared" si="129"/>
        <v>10516.72</v>
      </c>
      <c r="AA220" s="1303">
        <f t="shared" si="129"/>
        <v>262886.01999999996</v>
      </c>
      <c r="AB220" s="1309">
        <f t="shared" si="129"/>
        <v>173352.72</v>
      </c>
      <c r="AC220" s="1303">
        <f t="shared" si="129"/>
        <v>1128812.42</v>
      </c>
      <c r="AD220" s="1303">
        <f t="shared" si="129"/>
        <v>1321369.61</v>
      </c>
      <c r="AE220" s="1335">
        <f t="shared" si="129"/>
        <v>1283843.69</v>
      </c>
    </row>
    <row r="221" spans="1:31" s="667" customFormat="1" ht="32.25" customHeight="1">
      <c r="A221" s="928"/>
      <c r="B221" s="929"/>
      <c r="C221" s="930"/>
      <c r="D221" s="930"/>
      <c r="E221" s="931"/>
      <c r="F221" s="929"/>
      <c r="G221" s="878"/>
      <c r="H221" s="920"/>
      <c r="I221" s="931"/>
      <c r="J221" s="677"/>
      <c r="K221" s="677"/>
      <c r="L221" s="677"/>
      <c r="M221" s="676"/>
      <c r="N221" s="675"/>
      <c r="O221" s="865"/>
      <c r="P221" s="677"/>
      <c r="Q221" s="550"/>
      <c r="R221" s="678"/>
      <c r="S221" s="677"/>
      <c r="T221" s="878"/>
      <c r="U221" s="878"/>
      <c r="V221" s="878"/>
      <c r="W221" s="878">
        <f>SUM(W220)</f>
        <v>78714.92</v>
      </c>
      <c r="X221" s="878"/>
      <c r="Y221" s="878"/>
      <c r="Z221" s="878"/>
      <c r="AA221" s="878">
        <f>X220+Y220+Z220</f>
        <v>262886.01999999996</v>
      </c>
      <c r="AB221" s="878">
        <f>Y220+Z220</f>
        <v>173352.71999999997</v>
      </c>
      <c r="AC221" s="675"/>
      <c r="AD221" s="675"/>
      <c r="AE221" s="675"/>
    </row>
    <row r="222" spans="1:19" ht="36.75" customHeight="1">
      <c r="A222" s="68"/>
      <c r="B222" s="69" t="s">
        <v>440</v>
      </c>
      <c r="C222" s="69"/>
      <c r="D222" s="69"/>
      <c r="E222" s="69"/>
      <c r="F222" s="68"/>
      <c r="G222" s="5"/>
      <c r="H222" s="4"/>
      <c r="I222" s="5"/>
      <c r="J222" s="240" t="s">
        <v>60</v>
      </c>
      <c r="K222" s="6"/>
      <c r="L222" s="5"/>
      <c r="O222" s="2"/>
      <c r="S222" s="240" t="s">
        <v>60</v>
      </c>
    </row>
    <row r="223" spans="1:25" ht="18.75" customHeight="1">
      <c r="A223" s="434" t="s">
        <v>130</v>
      </c>
      <c r="B223" s="410" t="s">
        <v>22</v>
      </c>
      <c r="C223" s="1597" t="s">
        <v>133</v>
      </c>
      <c r="D223" s="1598"/>
      <c r="E223" s="1598"/>
      <c r="F223" s="1599"/>
      <c r="G223" s="85" t="s">
        <v>27</v>
      </c>
      <c r="H223" s="1594" t="s">
        <v>97</v>
      </c>
      <c r="I223" s="1595"/>
      <c r="J223" s="1596"/>
      <c r="K223" s="418" t="s">
        <v>27</v>
      </c>
      <c r="L223" s="1570" t="s">
        <v>4</v>
      </c>
      <c r="M223" s="1570"/>
      <c r="N223" s="1570"/>
      <c r="O223" s="419" t="s">
        <v>27</v>
      </c>
      <c r="P223" s="1614" t="s">
        <v>23</v>
      </c>
      <c r="Q223" s="1614"/>
      <c r="R223" s="1614"/>
      <c r="S223" s="1614"/>
      <c r="T223" s="1576" t="s">
        <v>441</v>
      </c>
      <c r="U223" s="1577"/>
      <c r="V223" s="1577"/>
      <c r="W223" s="1578"/>
      <c r="X223" s="435"/>
      <c r="Y223" s="435"/>
    </row>
    <row r="224" spans="1:26" ht="54">
      <c r="A224" s="420" t="s">
        <v>1</v>
      </c>
      <c r="B224" s="410" t="s">
        <v>439</v>
      </c>
      <c r="C224" s="421" t="s">
        <v>5</v>
      </c>
      <c r="D224" s="421" t="s">
        <v>6</v>
      </c>
      <c r="E224" s="421" t="s">
        <v>65</v>
      </c>
      <c r="F224" s="421" t="s">
        <v>7</v>
      </c>
      <c r="G224" s="86" t="s">
        <v>309</v>
      </c>
      <c r="H224" s="1325" t="s">
        <v>5</v>
      </c>
      <c r="I224" s="1325" t="s">
        <v>6</v>
      </c>
      <c r="J224" s="86" t="s">
        <v>171</v>
      </c>
      <c r="K224" s="1323" t="s">
        <v>309</v>
      </c>
      <c r="L224" s="1323" t="s">
        <v>5</v>
      </c>
      <c r="M224" s="1323" t="s">
        <v>6</v>
      </c>
      <c r="N224" s="1323" t="s">
        <v>25</v>
      </c>
      <c r="O224" s="1324" t="s">
        <v>309</v>
      </c>
      <c r="P224" s="1324" t="s">
        <v>5</v>
      </c>
      <c r="Q224" s="1324" t="s">
        <v>64</v>
      </c>
      <c r="R224" s="1324" t="s">
        <v>6</v>
      </c>
      <c r="S224" s="1324" t="s">
        <v>25</v>
      </c>
      <c r="T224" s="643" t="s">
        <v>104</v>
      </c>
      <c r="U224" s="643" t="s">
        <v>69</v>
      </c>
      <c r="V224" s="643" t="s">
        <v>95</v>
      </c>
      <c r="W224" s="1331" t="s">
        <v>105</v>
      </c>
      <c r="X224" s="426" t="s">
        <v>106</v>
      </c>
      <c r="Y224" s="426" t="s">
        <v>107</v>
      </c>
      <c r="Z224" s="577" t="s">
        <v>164</v>
      </c>
    </row>
    <row r="225" spans="1:26" ht="18.75" customHeight="1">
      <c r="A225" s="427" t="s">
        <v>47</v>
      </c>
      <c r="B225" s="428">
        <f aca="true" t="shared" si="130" ref="B225:B251">F193</f>
        <v>112000.93999999994</v>
      </c>
      <c r="C225" s="429">
        <v>15241.23</v>
      </c>
      <c r="D225" s="429">
        <v>13466.55</v>
      </c>
      <c r="E225" s="430"/>
      <c r="F225" s="428">
        <f>B225+C225-D225</f>
        <v>113775.61999999994</v>
      </c>
      <c r="G225" s="285">
        <f aca="true" t="shared" si="131" ref="G225:G249">J193</f>
        <v>29040.949999999983</v>
      </c>
      <c r="H225" s="1393">
        <v>1219.32</v>
      </c>
      <c r="I225" s="436"/>
      <c r="J225" s="285">
        <f>G225+H225-I225</f>
        <v>30260.269999999982</v>
      </c>
      <c r="K225" s="437">
        <f aca="true" t="shared" si="132" ref="K225:K249">N193</f>
        <v>-545.3099999999995</v>
      </c>
      <c r="L225" s="1352">
        <v>4819.88</v>
      </c>
      <c r="M225" s="1386">
        <v>4819.88</v>
      </c>
      <c r="N225" s="437">
        <f>K225+L225-M225</f>
        <v>-545.3099999999995</v>
      </c>
      <c r="O225" s="438">
        <f aca="true" t="shared" si="133" ref="O225:O249">S193</f>
        <v>-1491.05</v>
      </c>
      <c r="P225" s="439">
        <v>32.21</v>
      </c>
      <c r="Q225" s="440"/>
      <c r="R225" s="439">
        <v>49.14</v>
      </c>
      <c r="S225" s="301">
        <f>O225+P225-R225</f>
        <v>-1507.98</v>
      </c>
      <c r="T225" s="296">
        <f>R225</f>
        <v>49.14</v>
      </c>
      <c r="U225" s="793">
        <f>M225</f>
        <v>4819.88</v>
      </c>
      <c r="V225" s="794">
        <f>I225</f>
        <v>0</v>
      </c>
      <c r="W225" s="296">
        <f>T225+U225+V225</f>
        <v>4869.02</v>
      </c>
      <c r="X225" s="444">
        <f>C225+H225+L225+P225</f>
        <v>21312.64</v>
      </c>
      <c r="Y225" s="382">
        <f>D225+I225+M225+R225</f>
        <v>18335.57</v>
      </c>
      <c r="Z225" s="578">
        <f>D225+R225</f>
        <v>13515.689999999999</v>
      </c>
    </row>
    <row r="226" spans="1:26" ht="18.75">
      <c r="A226" s="431" t="s">
        <v>53</v>
      </c>
      <c r="B226" s="428">
        <f t="shared" si="130"/>
        <v>128534.72000000023</v>
      </c>
      <c r="C226" s="429">
        <v>33877.29</v>
      </c>
      <c r="D226" s="429">
        <v>32926.56</v>
      </c>
      <c r="E226" s="430"/>
      <c r="F226" s="428">
        <f aca="true" t="shared" si="134" ref="F226:F251">B226+C226-D226</f>
        <v>129485.45000000024</v>
      </c>
      <c r="G226" s="285">
        <f t="shared" si="131"/>
        <v>1447.6099999999994</v>
      </c>
      <c r="H226" s="1393">
        <v>294.05</v>
      </c>
      <c r="I226" s="436"/>
      <c r="J226" s="285">
        <f aca="true" t="shared" si="135" ref="J226:J251">G226+H226-I226</f>
        <v>1741.6599999999994</v>
      </c>
      <c r="K226" s="437">
        <f t="shared" si="132"/>
        <v>-3623.4</v>
      </c>
      <c r="L226" s="1352">
        <v>137.45</v>
      </c>
      <c r="M226" s="1387">
        <v>137.45</v>
      </c>
      <c r="N226" s="437">
        <f aca="true" t="shared" si="136" ref="N226:N251">K226+L226-M226</f>
        <v>-3623.4</v>
      </c>
      <c r="O226" s="438">
        <f t="shared" si="133"/>
        <v>136.67000000000002</v>
      </c>
      <c r="P226" s="439">
        <v>50.18</v>
      </c>
      <c r="Q226" s="440"/>
      <c r="R226" s="439">
        <v>49.89</v>
      </c>
      <c r="S226" s="301">
        <f aca="true" t="shared" si="137" ref="S226:S251">O226+P226-R226</f>
        <v>136.96000000000004</v>
      </c>
      <c r="T226" s="296">
        <f aca="true" t="shared" si="138" ref="T226:T251">R226</f>
        <v>49.89</v>
      </c>
      <c r="U226" s="793">
        <f aca="true" t="shared" si="139" ref="U226:U251">M226</f>
        <v>137.45</v>
      </c>
      <c r="V226" s="794"/>
      <c r="W226" s="296">
        <f aca="true" t="shared" si="140" ref="W226:W251">T226+U226+V226</f>
        <v>187.33999999999997</v>
      </c>
      <c r="X226" s="444">
        <f aca="true" t="shared" si="141" ref="X226:X251">C226+H226+L226+P226</f>
        <v>34358.97</v>
      </c>
      <c r="Y226" s="382">
        <f aca="true" t="shared" si="142" ref="Y226:Y251">D226+I226+M226+R226</f>
        <v>33113.899999999994</v>
      </c>
      <c r="Z226" s="578">
        <f aca="true" t="shared" si="143" ref="Z226:Z251">D226+R226</f>
        <v>32976.45</v>
      </c>
    </row>
    <row r="227" spans="1:26" ht="18.75">
      <c r="A227" s="431" t="s">
        <v>8</v>
      </c>
      <c r="B227" s="428">
        <f t="shared" si="130"/>
        <v>74445.62</v>
      </c>
      <c r="C227" s="432"/>
      <c r="D227" s="432"/>
      <c r="E227" s="432"/>
      <c r="F227" s="428">
        <f t="shared" si="134"/>
        <v>74445.62</v>
      </c>
      <c r="G227" s="285">
        <f t="shared" si="131"/>
        <v>0</v>
      </c>
      <c r="H227" s="1076"/>
      <c r="I227" s="436"/>
      <c r="J227" s="285">
        <f t="shared" si="135"/>
        <v>0</v>
      </c>
      <c r="K227" s="437">
        <f t="shared" si="132"/>
        <v>0</v>
      </c>
      <c r="L227" s="1352"/>
      <c r="M227" s="1388"/>
      <c r="N227" s="437">
        <f t="shared" si="136"/>
        <v>0</v>
      </c>
      <c r="O227" s="438">
        <f t="shared" si="133"/>
        <v>0</v>
      </c>
      <c r="P227" s="441"/>
      <c r="Q227" s="441"/>
      <c r="R227" s="441"/>
      <c r="S227" s="301">
        <f t="shared" si="137"/>
        <v>0</v>
      </c>
      <c r="T227" s="296">
        <f t="shared" si="138"/>
        <v>0</v>
      </c>
      <c r="U227" s="793">
        <f t="shared" si="139"/>
        <v>0</v>
      </c>
      <c r="V227" s="794">
        <f aca="true" t="shared" si="144" ref="V227:V251">I227</f>
        <v>0</v>
      </c>
      <c r="W227" s="296">
        <f t="shared" si="140"/>
        <v>0</v>
      </c>
      <c r="X227" s="444">
        <f t="shared" si="141"/>
        <v>0</v>
      </c>
      <c r="Y227" s="382">
        <f t="shared" si="142"/>
        <v>0</v>
      </c>
      <c r="Z227" s="578">
        <f t="shared" si="143"/>
        <v>0</v>
      </c>
    </row>
    <row r="228" spans="1:26" ht="18.75">
      <c r="A228" s="431" t="s">
        <v>48</v>
      </c>
      <c r="B228" s="428">
        <f t="shared" si="130"/>
        <v>384651.4200000002</v>
      </c>
      <c r="C228" s="432">
        <v>82000.73</v>
      </c>
      <c r="D228" s="432">
        <v>81197.78</v>
      </c>
      <c r="E228" s="432"/>
      <c r="F228" s="428">
        <f t="shared" si="134"/>
        <v>385454.3700000002</v>
      </c>
      <c r="G228" s="285">
        <f t="shared" si="131"/>
        <v>29659.339999999997</v>
      </c>
      <c r="H228" s="1076">
        <v>1401.11</v>
      </c>
      <c r="I228" s="436"/>
      <c r="J228" s="285">
        <f t="shared" si="135"/>
        <v>31060.449999999997</v>
      </c>
      <c r="K228" s="437">
        <f t="shared" si="132"/>
        <v>-1233.249999999999</v>
      </c>
      <c r="L228" s="1352">
        <v>905.37</v>
      </c>
      <c r="M228" s="1388">
        <v>905.37</v>
      </c>
      <c r="N228" s="437">
        <f t="shared" si="136"/>
        <v>-1233.249999999999</v>
      </c>
      <c r="O228" s="438">
        <f t="shared" si="133"/>
        <v>-1840.9999999999995</v>
      </c>
      <c r="P228" s="441">
        <v>152.15</v>
      </c>
      <c r="Q228" s="441"/>
      <c r="R228" s="441">
        <v>159.19</v>
      </c>
      <c r="S228" s="301">
        <f t="shared" si="137"/>
        <v>-1848.0399999999995</v>
      </c>
      <c r="T228" s="296">
        <f t="shared" si="138"/>
        <v>159.19</v>
      </c>
      <c r="U228" s="793">
        <f t="shared" si="139"/>
        <v>905.37</v>
      </c>
      <c r="V228" s="794">
        <f t="shared" si="144"/>
        <v>0</v>
      </c>
      <c r="W228" s="296">
        <f t="shared" si="140"/>
        <v>1064.56</v>
      </c>
      <c r="X228" s="444">
        <f t="shared" si="141"/>
        <v>84459.35999999999</v>
      </c>
      <c r="Y228" s="382">
        <f t="shared" si="142"/>
        <v>82262.34</v>
      </c>
      <c r="Z228" s="578">
        <f t="shared" si="143"/>
        <v>81356.97</v>
      </c>
    </row>
    <row r="229" spans="1:26" ht="18.75">
      <c r="A229" s="431" t="s">
        <v>9</v>
      </c>
      <c r="B229" s="428">
        <f t="shared" si="130"/>
        <v>127390.40000000005</v>
      </c>
      <c r="C229" s="432">
        <v>20363.74</v>
      </c>
      <c r="D229" s="432">
        <v>18246.91</v>
      </c>
      <c r="E229" s="432"/>
      <c r="F229" s="428">
        <f t="shared" si="134"/>
        <v>129507.23000000004</v>
      </c>
      <c r="G229" s="285">
        <f t="shared" si="131"/>
        <v>35044.68999999999</v>
      </c>
      <c r="H229" s="1076">
        <f>1508.75+112.42</f>
        <v>1621.17</v>
      </c>
      <c r="I229" s="436"/>
      <c r="J229" s="285">
        <f t="shared" si="135"/>
        <v>36665.859999999986</v>
      </c>
      <c r="K229" s="437">
        <f t="shared" si="132"/>
        <v>0</v>
      </c>
      <c r="L229" s="1352"/>
      <c r="M229" s="1388"/>
      <c r="N229" s="437">
        <f t="shared" si="136"/>
        <v>0</v>
      </c>
      <c r="O229" s="438">
        <f t="shared" si="133"/>
        <v>1095.4099999999996</v>
      </c>
      <c r="P229" s="441">
        <v>5.9</v>
      </c>
      <c r="Q229" s="441"/>
      <c r="R229" s="441">
        <v>8.48</v>
      </c>
      <c r="S229" s="301">
        <f t="shared" si="137"/>
        <v>1092.8299999999997</v>
      </c>
      <c r="T229" s="296">
        <f t="shared" si="138"/>
        <v>8.48</v>
      </c>
      <c r="U229" s="797">
        <f t="shared" si="139"/>
        <v>0</v>
      </c>
      <c r="V229" s="794">
        <f t="shared" si="144"/>
        <v>0</v>
      </c>
      <c r="W229" s="296">
        <f t="shared" si="140"/>
        <v>8.48</v>
      </c>
      <c r="X229" s="444">
        <f t="shared" si="141"/>
        <v>21990.810000000005</v>
      </c>
      <c r="Y229" s="382">
        <f t="shared" si="142"/>
        <v>18255.39</v>
      </c>
      <c r="Z229" s="578">
        <f t="shared" si="143"/>
        <v>18255.39</v>
      </c>
    </row>
    <row r="230" spans="1:26" ht="18.75">
      <c r="A230" s="431" t="s">
        <v>10</v>
      </c>
      <c r="B230" s="428">
        <f t="shared" si="130"/>
        <v>8740.000000000096</v>
      </c>
      <c r="C230" s="432">
        <v>8796.01</v>
      </c>
      <c r="D230" s="432">
        <v>8379.89</v>
      </c>
      <c r="E230" s="432"/>
      <c r="F230" s="428">
        <f t="shared" si="134"/>
        <v>9156.120000000097</v>
      </c>
      <c r="G230" s="285">
        <f t="shared" si="131"/>
        <v>0</v>
      </c>
      <c r="H230" s="1076"/>
      <c r="I230" s="436"/>
      <c r="J230" s="285">
        <f t="shared" si="135"/>
        <v>0</v>
      </c>
      <c r="K230" s="437">
        <f t="shared" si="132"/>
        <v>0</v>
      </c>
      <c r="L230" s="1352"/>
      <c r="M230" s="1388"/>
      <c r="N230" s="437">
        <f t="shared" si="136"/>
        <v>0</v>
      </c>
      <c r="O230" s="438">
        <f t="shared" si="133"/>
        <v>47.67999999999999</v>
      </c>
      <c r="P230" s="441"/>
      <c r="Q230" s="441"/>
      <c r="R230" s="441"/>
      <c r="S230" s="301">
        <f t="shared" si="137"/>
        <v>47.67999999999999</v>
      </c>
      <c r="T230" s="296">
        <f t="shared" si="138"/>
        <v>0</v>
      </c>
      <c r="U230" s="793">
        <f t="shared" si="139"/>
        <v>0</v>
      </c>
      <c r="V230" s="794">
        <f t="shared" si="144"/>
        <v>0</v>
      </c>
      <c r="W230" s="296">
        <f t="shared" si="140"/>
        <v>0</v>
      </c>
      <c r="X230" s="444">
        <f t="shared" si="141"/>
        <v>8796.01</v>
      </c>
      <c r="Y230" s="382">
        <f t="shared" si="142"/>
        <v>8379.89</v>
      </c>
      <c r="Z230" s="578">
        <f t="shared" si="143"/>
        <v>8379.89</v>
      </c>
    </row>
    <row r="231" spans="1:26" ht="18.75">
      <c r="A231" s="431" t="s">
        <v>11</v>
      </c>
      <c r="B231" s="428">
        <f t="shared" si="130"/>
        <v>9764.98000000003</v>
      </c>
      <c r="C231" s="432">
        <v>8764.88</v>
      </c>
      <c r="D231" s="432">
        <v>8198.77</v>
      </c>
      <c r="E231" s="432"/>
      <c r="F231" s="428">
        <f t="shared" si="134"/>
        <v>10331.09000000003</v>
      </c>
      <c r="G231" s="285">
        <f t="shared" si="131"/>
        <v>0</v>
      </c>
      <c r="H231" s="1076"/>
      <c r="I231" s="436"/>
      <c r="J231" s="285">
        <f t="shared" si="135"/>
        <v>0</v>
      </c>
      <c r="K231" s="437">
        <f t="shared" si="132"/>
        <v>0</v>
      </c>
      <c r="L231" s="1352"/>
      <c r="M231" s="1388"/>
      <c r="N231" s="437">
        <f t="shared" si="136"/>
        <v>0</v>
      </c>
      <c r="O231" s="438">
        <f t="shared" si="133"/>
        <v>89.53</v>
      </c>
      <c r="P231" s="441"/>
      <c r="Q231" s="441"/>
      <c r="R231" s="441"/>
      <c r="S231" s="301">
        <f t="shared" si="137"/>
        <v>89.53</v>
      </c>
      <c r="T231" s="296">
        <f t="shared" si="138"/>
        <v>0</v>
      </c>
      <c r="U231" s="793">
        <f t="shared" si="139"/>
        <v>0</v>
      </c>
      <c r="V231" s="794">
        <f t="shared" si="144"/>
        <v>0</v>
      </c>
      <c r="W231" s="296">
        <f t="shared" si="140"/>
        <v>0</v>
      </c>
      <c r="X231" s="444">
        <f t="shared" si="141"/>
        <v>8764.88</v>
      </c>
      <c r="Y231" s="382">
        <f t="shared" si="142"/>
        <v>8198.77</v>
      </c>
      <c r="Z231" s="578">
        <f t="shared" si="143"/>
        <v>8198.77</v>
      </c>
    </row>
    <row r="232" spans="1:26" ht="18.75">
      <c r="A232" s="431" t="s">
        <v>12</v>
      </c>
      <c r="B232" s="428">
        <f t="shared" si="130"/>
        <v>90531.12000000017</v>
      </c>
      <c r="C232" s="432">
        <v>50188.44</v>
      </c>
      <c r="D232" s="432">
        <v>47426.22</v>
      </c>
      <c r="E232" s="432"/>
      <c r="F232" s="428">
        <f t="shared" si="134"/>
        <v>93293.34000000017</v>
      </c>
      <c r="G232" s="285">
        <f t="shared" si="131"/>
        <v>9642.889999999994</v>
      </c>
      <c r="H232" s="1076">
        <v>583.65</v>
      </c>
      <c r="I232" s="436"/>
      <c r="J232" s="285">
        <f t="shared" si="135"/>
        <v>10226.539999999994</v>
      </c>
      <c r="K232" s="437">
        <f t="shared" si="132"/>
        <v>1508.3999999999985</v>
      </c>
      <c r="L232" s="1352">
        <v>1722.24</v>
      </c>
      <c r="M232" s="1388">
        <v>1722.24</v>
      </c>
      <c r="N232" s="437">
        <f t="shared" si="136"/>
        <v>1508.3999999999985</v>
      </c>
      <c r="O232" s="438">
        <f t="shared" si="133"/>
        <v>332.15</v>
      </c>
      <c r="P232" s="441">
        <v>45.25</v>
      </c>
      <c r="Q232" s="441"/>
      <c r="R232" s="441">
        <v>45.25</v>
      </c>
      <c r="S232" s="301">
        <f t="shared" si="137"/>
        <v>332.15</v>
      </c>
      <c r="T232" s="296">
        <f t="shared" si="138"/>
        <v>45.25</v>
      </c>
      <c r="U232" s="793">
        <f t="shared" si="139"/>
        <v>1722.24</v>
      </c>
      <c r="V232" s="794">
        <f t="shared" si="144"/>
        <v>0</v>
      </c>
      <c r="W232" s="296">
        <f t="shared" si="140"/>
        <v>1767.49</v>
      </c>
      <c r="X232" s="444">
        <f t="shared" si="141"/>
        <v>52539.58</v>
      </c>
      <c r="Y232" s="382">
        <f t="shared" si="142"/>
        <v>49193.71</v>
      </c>
      <c r="Z232" s="578">
        <f t="shared" si="143"/>
        <v>47471.47</v>
      </c>
    </row>
    <row r="233" spans="1:26" ht="18.75">
      <c r="A233" s="431" t="s">
        <v>13</v>
      </c>
      <c r="B233" s="428">
        <f t="shared" si="130"/>
        <v>56437.25000000004</v>
      </c>
      <c r="C233" s="432">
        <v>29655.43</v>
      </c>
      <c r="D233" s="432">
        <v>30889.88</v>
      </c>
      <c r="E233" s="432"/>
      <c r="F233" s="428">
        <f t="shared" si="134"/>
        <v>55202.80000000003</v>
      </c>
      <c r="G233" s="285">
        <f t="shared" si="131"/>
        <v>3424.8799999999983</v>
      </c>
      <c r="H233" s="1076">
        <v>196.74</v>
      </c>
      <c r="I233" s="436"/>
      <c r="J233" s="285">
        <f t="shared" si="135"/>
        <v>3621.619999999998</v>
      </c>
      <c r="K233" s="437">
        <f t="shared" si="132"/>
        <v>-2290.02</v>
      </c>
      <c r="L233" s="1352">
        <v>727.77</v>
      </c>
      <c r="M233" s="1388"/>
      <c r="N233" s="437">
        <f t="shared" si="136"/>
        <v>-1562.25</v>
      </c>
      <c r="O233" s="438">
        <f t="shared" si="133"/>
        <v>54.84000000000007</v>
      </c>
      <c r="P233" s="441">
        <v>68.53</v>
      </c>
      <c r="Q233" s="441"/>
      <c r="R233" s="441">
        <v>62.08</v>
      </c>
      <c r="S233" s="301">
        <f t="shared" si="137"/>
        <v>61.29000000000006</v>
      </c>
      <c r="T233" s="296">
        <f t="shared" si="138"/>
        <v>62.08</v>
      </c>
      <c r="U233" s="793">
        <f t="shared" si="139"/>
        <v>0</v>
      </c>
      <c r="V233" s="794">
        <f t="shared" si="144"/>
        <v>0</v>
      </c>
      <c r="W233" s="296">
        <f t="shared" si="140"/>
        <v>62.08</v>
      </c>
      <c r="X233" s="444">
        <f t="shared" si="141"/>
        <v>30648.47</v>
      </c>
      <c r="Y233" s="382">
        <f t="shared" si="142"/>
        <v>30951.960000000003</v>
      </c>
      <c r="Z233" s="578">
        <f t="shared" si="143"/>
        <v>30951.960000000003</v>
      </c>
    </row>
    <row r="234" spans="1:26" ht="18.75">
      <c r="A234" s="431" t="s">
        <v>14</v>
      </c>
      <c r="B234" s="428">
        <f t="shared" si="130"/>
        <v>64680.93000000007</v>
      </c>
      <c r="C234" s="432">
        <v>36574.19</v>
      </c>
      <c r="D234" s="432">
        <v>35354.3</v>
      </c>
      <c r="E234" s="432"/>
      <c r="F234" s="428">
        <f t="shared" si="134"/>
        <v>65900.82000000008</v>
      </c>
      <c r="G234" s="285">
        <f t="shared" si="131"/>
        <v>3451.66</v>
      </c>
      <c r="H234" s="1076"/>
      <c r="I234" s="436"/>
      <c r="J234" s="285">
        <f t="shared" si="135"/>
        <v>3451.66</v>
      </c>
      <c r="K234" s="437">
        <f t="shared" si="132"/>
        <v>4012.2</v>
      </c>
      <c r="L234" s="1352">
        <v>2926</v>
      </c>
      <c r="M234" s="1388">
        <v>2526.54</v>
      </c>
      <c r="N234" s="437">
        <f t="shared" si="136"/>
        <v>4411.66</v>
      </c>
      <c r="O234" s="438">
        <f t="shared" si="133"/>
        <v>-213.72000000000003</v>
      </c>
      <c r="P234" s="441">
        <v>16.41</v>
      </c>
      <c r="Q234" s="441"/>
      <c r="R234" s="441">
        <v>16.41</v>
      </c>
      <c r="S234" s="301">
        <f t="shared" si="137"/>
        <v>-213.72000000000003</v>
      </c>
      <c r="T234" s="296">
        <f t="shared" si="138"/>
        <v>16.41</v>
      </c>
      <c r="U234" s="793">
        <f t="shared" si="139"/>
        <v>2526.54</v>
      </c>
      <c r="V234" s="794">
        <f t="shared" si="144"/>
        <v>0</v>
      </c>
      <c r="W234" s="296">
        <f t="shared" si="140"/>
        <v>2542.95</v>
      </c>
      <c r="X234" s="444">
        <f t="shared" si="141"/>
        <v>39516.600000000006</v>
      </c>
      <c r="Y234" s="382">
        <f t="shared" si="142"/>
        <v>37897.25000000001</v>
      </c>
      <c r="Z234" s="578">
        <f t="shared" si="143"/>
        <v>35370.71000000001</v>
      </c>
    </row>
    <row r="235" spans="1:26" ht="18.75">
      <c r="A235" s="431" t="s">
        <v>55</v>
      </c>
      <c r="B235" s="428">
        <f t="shared" si="130"/>
        <v>38950.52000000001</v>
      </c>
      <c r="C235" s="432">
        <v>16275.19</v>
      </c>
      <c r="D235" s="432">
        <v>16571.17</v>
      </c>
      <c r="E235" s="432"/>
      <c r="F235" s="428">
        <f t="shared" si="134"/>
        <v>38654.540000000015</v>
      </c>
      <c r="G235" s="285">
        <f t="shared" si="131"/>
        <v>3458.000000000001</v>
      </c>
      <c r="H235" s="1076">
        <v>209.3</v>
      </c>
      <c r="I235" s="436"/>
      <c r="J235" s="285">
        <f t="shared" si="135"/>
        <v>3667.300000000001</v>
      </c>
      <c r="K235" s="437">
        <f t="shared" si="132"/>
        <v>1841.7100000000028</v>
      </c>
      <c r="L235" s="1352">
        <v>773.21</v>
      </c>
      <c r="M235" s="1388"/>
      <c r="N235" s="437">
        <f t="shared" si="136"/>
        <v>2614.920000000003</v>
      </c>
      <c r="O235" s="438">
        <f t="shared" si="133"/>
        <v>-763.87</v>
      </c>
      <c r="P235" s="441">
        <v>37.51</v>
      </c>
      <c r="Q235" s="441"/>
      <c r="R235" s="441">
        <v>37.51</v>
      </c>
      <c r="S235" s="301">
        <f t="shared" si="137"/>
        <v>-763.87</v>
      </c>
      <c r="T235" s="296">
        <f t="shared" si="138"/>
        <v>37.51</v>
      </c>
      <c r="U235" s="793">
        <f t="shared" si="139"/>
        <v>0</v>
      </c>
      <c r="V235" s="794">
        <f t="shared" si="144"/>
        <v>0</v>
      </c>
      <c r="W235" s="296">
        <f t="shared" si="140"/>
        <v>37.51</v>
      </c>
      <c r="X235" s="444">
        <f t="shared" si="141"/>
        <v>17295.21</v>
      </c>
      <c r="Y235" s="382">
        <f t="shared" si="142"/>
        <v>16608.679999999997</v>
      </c>
      <c r="Z235" s="578">
        <f t="shared" si="143"/>
        <v>16608.679999999997</v>
      </c>
    </row>
    <row r="236" spans="1:26" ht="18.75">
      <c r="A236" s="431" t="s">
        <v>15</v>
      </c>
      <c r="B236" s="428">
        <f t="shared" si="130"/>
        <v>119878.33000000031</v>
      </c>
      <c r="C236" s="432">
        <v>39158.91</v>
      </c>
      <c r="D236" s="432">
        <v>40483.4</v>
      </c>
      <c r="E236" s="432"/>
      <c r="F236" s="428">
        <f t="shared" si="134"/>
        <v>118553.84000000032</v>
      </c>
      <c r="G236" s="285">
        <f t="shared" si="131"/>
        <v>0</v>
      </c>
      <c r="H236" s="1076"/>
      <c r="I236" s="436"/>
      <c r="J236" s="285">
        <f t="shared" si="135"/>
        <v>0</v>
      </c>
      <c r="K236" s="437">
        <f t="shared" si="132"/>
        <v>5938.620000000001</v>
      </c>
      <c r="L236" s="1352">
        <v>2209.01</v>
      </c>
      <c r="M236" s="1388">
        <v>1200.18</v>
      </c>
      <c r="N236" s="437">
        <f t="shared" si="136"/>
        <v>6947.450000000001</v>
      </c>
      <c r="O236" s="438">
        <f t="shared" si="133"/>
        <v>447.3199999999997</v>
      </c>
      <c r="P236" s="441">
        <v>57.44</v>
      </c>
      <c r="Q236" s="441"/>
      <c r="R236" s="441">
        <v>42.03</v>
      </c>
      <c r="S236" s="301">
        <f t="shared" si="137"/>
        <v>462.7299999999997</v>
      </c>
      <c r="T236" s="296">
        <f t="shared" si="138"/>
        <v>42.03</v>
      </c>
      <c r="U236" s="793">
        <f t="shared" si="139"/>
        <v>1200.18</v>
      </c>
      <c r="V236" s="794">
        <f t="shared" si="144"/>
        <v>0</v>
      </c>
      <c r="W236" s="296">
        <f t="shared" si="140"/>
        <v>1242.21</v>
      </c>
      <c r="X236" s="444">
        <f t="shared" si="141"/>
        <v>41425.36000000001</v>
      </c>
      <c r="Y236" s="382">
        <f t="shared" si="142"/>
        <v>41725.61</v>
      </c>
      <c r="Z236" s="578">
        <f t="shared" si="143"/>
        <v>40525.43</v>
      </c>
    </row>
    <row r="237" spans="1:26" ht="18.75">
      <c r="A237" s="431" t="s">
        <v>16</v>
      </c>
      <c r="B237" s="428">
        <f t="shared" si="130"/>
        <v>39284.93000000008</v>
      </c>
      <c r="C237" s="432">
        <v>31868.05</v>
      </c>
      <c r="D237" s="432">
        <v>32697.94</v>
      </c>
      <c r="E237" s="432"/>
      <c r="F237" s="428">
        <f t="shared" si="134"/>
        <v>38455.04000000008</v>
      </c>
      <c r="G237" s="285">
        <f t="shared" si="131"/>
        <v>0</v>
      </c>
      <c r="H237" s="1076"/>
      <c r="I237" s="436"/>
      <c r="J237" s="285">
        <f t="shared" si="135"/>
        <v>0</v>
      </c>
      <c r="K237" s="437">
        <f t="shared" si="132"/>
        <v>2148.780000000002</v>
      </c>
      <c r="L237" s="1352">
        <v>328.3</v>
      </c>
      <c r="M237" s="1388">
        <v>984.9</v>
      </c>
      <c r="N237" s="437">
        <f t="shared" si="136"/>
        <v>1492.180000000002</v>
      </c>
      <c r="O237" s="438">
        <f t="shared" si="133"/>
        <v>81.16</v>
      </c>
      <c r="P237" s="441">
        <v>210.48</v>
      </c>
      <c r="Q237" s="441"/>
      <c r="R237" s="441">
        <v>265.39</v>
      </c>
      <c r="S237" s="301">
        <f t="shared" si="137"/>
        <v>26.25</v>
      </c>
      <c r="T237" s="296">
        <f t="shared" si="138"/>
        <v>265.39</v>
      </c>
      <c r="U237" s="793">
        <f t="shared" si="139"/>
        <v>984.9</v>
      </c>
      <c r="V237" s="794">
        <f t="shared" si="144"/>
        <v>0</v>
      </c>
      <c r="W237" s="296">
        <f t="shared" si="140"/>
        <v>1250.29</v>
      </c>
      <c r="X237" s="444">
        <f t="shared" si="141"/>
        <v>32406.829999999998</v>
      </c>
      <c r="Y237" s="382">
        <f t="shared" si="142"/>
        <v>33948.229999999996</v>
      </c>
      <c r="Z237" s="578">
        <f t="shared" si="143"/>
        <v>32963.33</v>
      </c>
    </row>
    <row r="238" spans="1:26" ht="18.75">
      <c r="A238" s="431" t="s">
        <v>17</v>
      </c>
      <c r="B238" s="428">
        <f t="shared" si="130"/>
        <v>59004.99000000032</v>
      </c>
      <c r="C238" s="432">
        <v>41492.76</v>
      </c>
      <c r="D238" s="432">
        <v>39288.22</v>
      </c>
      <c r="E238" s="432"/>
      <c r="F238" s="428">
        <f t="shared" si="134"/>
        <v>61209.53000000032</v>
      </c>
      <c r="G238" s="285">
        <f t="shared" si="131"/>
        <v>6866.599999999999</v>
      </c>
      <c r="H238" s="1076">
        <v>415.61</v>
      </c>
      <c r="I238" s="436"/>
      <c r="J238" s="285">
        <f t="shared" si="135"/>
        <v>7282.209999999999</v>
      </c>
      <c r="K238" s="437">
        <f t="shared" si="132"/>
        <v>1318.6299999999997</v>
      </c>
      <c r="L238" s="1352">
        <v>699.06</v>
      </c>
      <c r="M238" s="1388">
        <v>699.06</v>
      </c>
      <c r="N238" s="437">
        <f t="shared" si="136"/>
        <v>1318.6299999999997</v>
      </c>
      <c r="O238" s="438">
        <f t="shared" si="133"/>
        <v>80.36000000000001</v>
      </c>
      <c r="P238" s="441">
        <v>10.67</v>
      </c>
      <c r="Q238" s="441"/>
      <c r="R238" s="441">
        <v>9.92</v>
      </c>
      <c r="S238" s="301">
        <f t="shared" si="137"/>
        <v>81.11000000000001</v>
      </c>
      <c r="T238" s="296">
        <f t="shared" si="138"/>
        <v>9.92</v>
      </c>
      <c r="U238" s="797">
        <f t="shared" si="139"/>
        <v>699.06</v>
      </c>
      <c r="V238" s="794">
        <f t="shared" si="144"/>
        <v>0</v>
      </c>
      <c r="W238" s="296">
        <f t="shared" si="140"/>
        <v>708.9799999999999</v>
      </c>
      <c r="X238" s="444">
        <f t="shared" si="141"/>
        <v>42618.1</v>
      </c>
      <c r="Y238" s="382">
        <f t="shared" si="142"/>
        <v>39997.2</v>
      </c>
      <c r="Z238" s="578">
        <f t="shared" si="143"/>
        <v>39298.14</v>
      </c>
    </row>
    <row r="239" spans="1:26" ht="18.75">
      <c r="A239" s="431" t="s">
        <v>18</v>
      </c>
      <c r="B239" s="428">
        <f t="shared" si="130"/>
        <v>164633.39</v>
      </c>
      <c r="C239" s="432">
        <v>88452</v>
      </c>
      <c r="D239" s="432">
        <v>88058.14</v>
      </c>
      <c r="E239" s="432"/>
      <c r="F239" s="428">
        <f t="shared" si="134"/>
        <v>165027.25</v>
      </c>
      <c r="G239" s="285">
        <f t="shared" si="131"/>
        <v>492.3699999999986</v>
      </c>
      <c r="H239" s="1076"/>
      <c r="I239" s="436"/>
      <c r="J239" s="285">
        <f t="shared" si="135"/>
        <v>492.3699999999986</v>
      </c>
      <c r="K239" s="437">
        <f t="shared" si="132"/>
        <v>5297.819999999999</v>
      </c>
      <c r="L239" s="1352">
        <v>2704.76</v>
      </c>
      <c r="M239" s="1388">
        <v>2913.46</v>
      </c>
      <c r="N239" s="437">
        <f t="shared" si="136"/>
        <v>5089.119999999999</v>
      </c>
      <c r="O239" s="438">
        <f t="shared" si="133"/>
        <v>698.63</v>
      </c>
      <c r="P239" s="441">
        <v>96</v>
      </c>
      <c r="Q239" s="441"/>
      <c r="R239" s="441">
        <v>96</v>
      </c>
      <c r="S239" s="301">
        <f t="shared" si="137"/>
        <v>698.63</v>
      </c>
      <c r="T239" s="296">
        <f t="shared" si="138"/>
        <v>96</v>
      </c>
      <c r="U239" s="793">
        <f t="shared" si="139"/>
        <v>2913.46</v>
      </c>
      <c r="V239" s="794">
        <f t="shared" si="144"/>
        <v>0</v>
      </c>
      <c r="W239" s="296">
        <f t="shared" si="140"/>
        <v>3009.46</v>
      </c>
      <c r="X239" s="444">
        <f t="shared" si="141"/>
        <v>91252.76</v>
      </c>
      <c r="Y239" s="382">
        <f t="shared" si="142"/>
        <v>91067.6</v>
      </c>
      <c r="Z239" s="578">
        <f t="shared" si="143"/>
        <v>88154.14</v>
      </c>
    </row>
    <row r="240" spans="1:26" ht="18.75">
      <c r="A240" s="431" t="s">
        <v>54</v>
      </c>
      <c r="B240" s="428">
        <f t="shared" si="130"/>
        <v>55234.62000000037</v>
      </c>
      <c r="C240" s="432">
        <v>37931.1</v>
      </c>
      <c r="D240" s="432">
        <v>34761.88</v>
      </c>
      <c r="E240" s="432"/>
      <c r="F240" s="428">
        <f t="shared" si="134"/>
        <v>58403.84000000037</v>
      </c>
      <c r="G240" s="285">
        <f t="shared" si="131"/>
        <v>5602.450000000003</v>
      </c>
      <c r="H240" s="1076">
        <v>295.41</v>
      </c>
      <c r="I240" s="436"/>
      <c r="J240" s="285">
        <f t="shared" si="135"/>
        <v>5897.860000000002</v>
      </c>
      <c r="K240" s="437">
        <f t="shared" si="132"/>
        <v>0</v>
      </c>
      <c r="L240" s="1352"/>
      <c r="M240" s="1388"/>
      <c r="N240" s="437">
        <f t="shared" si="136"/>
        <v>0</v>
      </c>
      <c r="O240" s="438">
        <f t="shared" si="133"/>
        <v>-1114.54</v>
      </c>
      <c r="P240" s="441">
        <v>6.86</v>
      </c>
      <c r="Q240" s="441"/>
      <c r="R240" s="441">
        <v>6.86</v>
      </c>
      <c r="S240" s="301">
        <f t="shared" si="137"/>
        <v>-1114.54</v>
      </c>
      <c r="T240" s="296">
        <f t="shared" si="138"/>
        <v>6.86</v>
      </c>
      <c r="U240" s="793">
        <f t="shared" si="139"/>
        <v>0</v>
      </c>
      <c r="V240" s="794">
        <f t="shared" si="144"/>
        <v>0</v>
      </c>
      <c r="W240" s="296">
        <f t="shared" si="140"/>
        <v>6.86</v>
      </c>
      <c r="X240" s="444">
        <f t="shared" si="141"/>
        <v>38233.37</v>
      </c>
      <c r="Y240" s="382">
        <f t="shared" si="142"/>
        <v>34768.74</v>
      </c>
      <c r="Z240" s="578">
        <f t="shared" si="143"/>
        <v>34768.74</v>
      </c>
    </row>
    <row r="241" spans="1:26" ht="18.75">
      <c r="A241" s="431" t="s">
        <v>49</v>
      </c>
      <c r="B241" s="428">
        <f t="shared" si="130"/>
        <v>211988.93000000017</v>
      </c>
      <c r="C241" s="432">
        <v>80671.41</v>
      </c>
      <c r="D241" s="432">
        <v>81337.69</v>
      </c>
      <c r="E241" s="432"/>
      <c r="F241" s="428">
        <f t="shared" si="134"/>
        <v>211322.6500000002</v>
      </c>
      <c r="G241" s="285">
        <f t="shared" si="131"/>
        <v>15234.980000000005</v>
      </c>
      <c r="H241" s="1076">
        <v>922.12</v>
      </c>
      <c r="I241" s="436"/>
      <c r="J241" s="285">
        <f t="shared" si="135"/>
        <v>16157.100000000006</v>
      </c>
      <c r="K241" s="437">
        <f t="shared" si="132"/>
        <v>4962.960000000004</v>
      </c>
      <c r="L241" s="1352">
        <v>3411.59</v>
      </c>
      <c r="M241" s="1388">
        <v>2651.53</v>
      </c>
      <c r="N241" s="437">
        <f t="shared" si="136"/>
        <v>5723.020000000002</v>
      </c>
      <c r="O241" s="438">
        <f t="shared" si="133"/>
        <v>-807.59</v>
      </c>
      <c r="P241" s="441">
        <v>104.15</v>
      </c>
      <c r="Q241" s="441"/>
      <c r="R241" s="441">
        <v>101.87</v>
      </c>
      <c r="S241" s="301">
        <f t="shared" si="137"/>
        <v>-805.3100000000001</v>
      </c>
      <c r="T241" s="296">
        <f t="shared" si="138"/>
        <v>101.87</v>
      </c>
      <c r="U241" s="793">
        <f t="shared" si="139"/>
        <v>2651.53</v>
      </c>
      <c r="V241" s="794">
        <f t="shared" si="144"/>
        <v>0</v>
      </c>
      <c r="W241" s="296">
        <f t="shared" si="140"/>
        <v>2753.4</v>
      </c>
      <c r="X241" s="444">
        <f t="shared" si="141"/>
        <v>85109.26999999999</v>
      </c>
      <c r="Y241" s="382">
        <f t="shared" si="142"/>
        <v>84091.09</v>
      </c>
      <c r="Z241" s="578">
        <f t="shared" si="143"/>
        <v>81439.56</v>
      </c>
    </row>
    <row r="242" spans="1:26" ht="18.75">
      <c r="A242" s="431" t="s">
        <v>19</v>
      </c>
      <c r="B242" s="428">
        <f t="shared" si="130"/>
        <v>99049.40999999995</v>
      </c>
      <c r="C242" s="432">
        <v>59520.68</v>
      </c>
      <c r="D242" s="432">
        <v>59790.4</v>
      </c>
      <c r="E242" s="432"/>
      <c r="F242" s="428">
        <f t="shared" si="134"/>
        <v>98779.68999999994</v>
      </c>
      <c r="G242" s="285">
        <f t="shared" si="131"/>
        <v>7054.789999999997</v>
      </c>
      <c r="H242" s="1076">
        <v>402.45</v>
      </c>
      <c r="I242" s="436"/>
      <c r="J242" s="285">
        <f t="shared" si="135"/>
        <v>7457.239999999997</v>
      </c>
      <c r="K242" s="437">
        <f t="shared" si="132"/>
        <v>1957.0100000000014</v>
      </c>
      <c r="L242" s="1352">
        <v>1175.67</v>
      </c>
      <c r="M242" s="1388">
        <v>1254</v>
      </c>
      <c r="N242" s="437">
        <f t="shared" si="136"/>
        <v>1878.6800000000012</v>
      </c>
      <c r="O242" s="438">
        <f t="shared" si="133"/>
        <v>-115.80999999999963</v>
      </c>
      <c r="P242" s="441">
        <v>28.92</v>
      </c>
      <c r="Q242" s="441"/>
      <c r="R242" s="441">
        <v>47.37</v>
      </c>
      <c r="S242" s="301">
        <f t="shared" si="137"/>
        <v>-134.25999999999962</v>
      </c>
      <c r="T242" s="296">
        <f t="shared" si="138"/>
        <v>47.37</v>
      </c>
      <c r="U242" s="797">
        <f t="shared" si="139"/>
        <v>1254</v>
      </c>
      <c r="V242" s="794">
        <f t="shared" si="144"/>
        <v>0</v>
      </c>
      <c r="W242" s="296">
        <f t="shared" si="140"/>
        <v>1301.37</v>
      </c>
      <c r="X242" s="444">
        <f t="shared" si="141"/>
        <v>61127.719999999994</v>
      </c>
      <c r="Y242" s="382">
        <f t="shared" si="142"/>
        <v>61091.770000000004</v>
      </c>
      <c r="Z242" s="578">
        <f t="shared" si="143"/>
        <v>59837.770000000004</v>
      </c>
    </row>
    <row r="243" spans="1:26" ht="18.75">
      <c r="A243" s="431" t="s">
        <v>20</v>
      </c>
      <c r="B243" s="428">
        <f t="shared" si="130"/>
        <v>68051.27000000009</v>
      </c>
      <c r="C243" s="432">
        <v>38671.41</v>
      </c>
      <c r="D243" s="432">
        <v>37504.78</v>
      </c>
      <c r="E243" s="432"/>
      <c r="F243" s="428">
        <f t="shared" si="134"/>
        <v>69217.9000000001</v>
      </c>
      <c r="G243" s="285">
        <f t="shared" si="131"/>
        <v>0</v>
      </c>
      <c r="H243" s="1326"/>
      <c r="I243" s="436"/>
      <c r="J243" s="285">
        <f t="shared" si="135"/>
        <v>0</v>
      </c>
      <c r="K243" s="437">
        <f t="shared" si="132"/>
        <v>1788.269999999999</v>
      </c>
      <c r="L243" s="1353">
        <v>777.4</v>
      </c>
      <c r="M243" s="1389">
        <v>777.4</v>
      </c>
      <c r="N243" s="437">
        <f t="shared" si="136"/>
        <v>1788.269999999999</v>
      </c>
      <c r="O243" s="438">
        <f t="shared" si="133"/>
        <v>118.27999999999994</v>
      </c>
      <c r="P243" s="441">
        <v>56.18</v>
      </c>
      <c r="Q243" s="441"/>
      <c r="R243" s="441">
        <v>62.2</v>
      </c>
      <c r="S243" s="301">
        <f t="shared" si="137"/>
        <v>112.25999999999995</v>
      </c>
      <c r="T243" s="296">
        <f t="shared" si="138"/>
        <v>62.2</v>
      </c>
      <c r="U243" s="793">
        <f t="shared" si="139"/>
        <v>777.4</v>
      </c>
      <c r="V243" s="794">
        <f t="shared" si="144"/>
        <v>0</v>
      </c>
      <c r="W243" s="296">
        <f t="shared" si="140"/>
        <v>839.6</v>
      </c>
      <c r="X243" s="444">
        <f t="shared" si="141"/>
        <v>39504.990000000005</v>
      </c>
      <c r="Y243" s="382">
        <f t="shared" si="142"/>
        <v>38344.38</v>
      </c>
      <c r="Z243" s="578">
        <f t="shared" si="143"/>
        <v>37566.979999999996</v>
      </c>
    </row>
    <row r="244" spans="1:32" ht="23.25" customHeight="1">
      <c r="A244" s="433" t="s">
        <v>114</v>
      </c>
      <c r="B244" s="428">
        <f t="shared" si="130"/>
        <v>-439899.11000000045</v>
      </c>
      <c r="C244" s="432">
        <v>47606.78</v>
      </c>
      <c r="D244" s="432">
        <v>50440.39</v>
      </c>
      <c r="E244" s="432"/>
      <c r="F244" s="428">
        <f t="shared" si="134"/>
        <v>-442732.72000000044</v>
      </c>
      <c r="G244" s="285">
        <f t="shared" si="131"/>
        <v>1515.95</v>
      </c>
      <c r="H244" s="1076">
        <v>303.19</v>
      </c>
      <c r="I244" s="436"/>
      <c r="J244" s="285">
        <f t="shared" si="135"/>
        <v>1819.14</v>
      </c>
      <c r="K244" s="437">
        <f t="shared" si="132"/>
        <v>789.96</v>
      </c>
      <c r="L244" s="1352">
        <v>789.96</v>
      </c>
      <c r="M244" s="1389">
        <v>2369.88</v>
      </c>
      <c r="N244" s="437">
        <f t="shared" si="136"/>
        <v>-789.96</v>
      </c>
      <c r="O244" s="438">
        <f t="shared" si="133"/>
        <v>-42.540000000000006</v>
      </c>
      <c r="P244" s="441">
        <v>35.98</v>
      </c>
      <c r="Q244" s="441"/>
      <c r="R244" s="441">
        <v>45.14</v>
      </c>
      <c r="S244" s="301">
        <f t="shared" si="137"/>
        <v>-51.70000000000001</v>
      </c>
      <c r="T244" s="296">
        <f t="shared" si="138"/>
        <v>45.14</v>
      </c>
      <c r="U244" s="793">
        <f t="shared" si="139"/>
        <v>2369.88</v>
      </c>
      <c r="V244" s="794">
        <f t="shared" si="144"/>
        <v>0</v>
      </c>
      <c r="W244" s="296">
        <f t="shared" si="140"/>
        <v>2415.02</v>
      </c>
      <c r="X244" s="444">
        <f t="shared" si="141"/>
        <v>48735.91</v>
      </c>
      <c r="Y244" s="382">
        <f t="shared" si="142"/>
        <v>52855.409999999996</v>
      </c>
      <c r="Z244" s="578">
        <f t="shared" si="143"/>
        <v>50485.53</v>
      </c>
      <c r="AA244" s="11"/>
      <c r="AB244" s="11"/>
      <c r="AC244" s="11"/>
      <c r="AD244" s="11"/>
      <c r="AE244" s="11"/>
      <c r="AF244" s="11"/>
    </row>
    <row r="245" spans="1:32" ht="18.75">
      <c r="A245" s="80" t="s">
        <v>124</v>
      </c>
      <c r="B245" s="428">
        <f t="shared" si="130"/>
        <v>24164.449999999935</v>
      </c>
      <c r="C245" s="450">
        <v>16815.18</v>
      </c>
      <c r="D245" s="131">
        <v>21060.65</v>
      </c>
      <c r="E245" s="131"/>
      <c r="F245" s="428">
        <f t="shared" si="134"/>
        <v>19918.97999999993</v>
      </c>
      <c r="G245" s="285">
        <f t="shared" si="131"/>
        <v>0</v>
      </c>
      <c r="H245" s="1395"/>
      <c r="I245" s="436"/>
      <c r="J245" s="285">
        <f t="shared" si="135"/>
        <v>0</v>
      </c>
      <c r="K245" s="437">
        <f t="shared" si="132"/>
        <v>0</v>
      </c>
      <c r="L245" s="1354"/>
      <c r="M245" s="1390"/>
      <c r="N245" s="437">
        <f t="shared" si="136"/>
        <v>0</v>
      </c>
      <c r="O245" s="438">
        <f t="shared" si="133"/>
        <v>-9.360000000000007</v>
      </c>
      <c r="P245" s="480">
        <v>20.54</v>
      </c>
      <c r="Q245" s="264"/>
      <c r="R245" s="480">
        <v>20.54</v>
      </c>
      <c r="S245" s="301">
        <f t="shared" si="137"/>
        <v>-9.360000000000007</v>
      </c>
      <c r="T245" s="296">
        <f t="shared" si="138"/>
        <v>20.54</v>
      </c>
      <c r="U245" s="793">
        <f t="shared" si="139"/>
        <v>0</v>
      </c>
      <c r="V245" s="795">
        <f t="shared" si="144"/>
        <v>0</v>
      </c>
      <c r="W245" s="796">
        <f t="shared" si="140"/>
        <v>20.54</v>
      </c>
      <c r="X245" s="444">
        <f t="shared" si="141"/>
        <v>16835.72</v>
      </c>
      <c r="Y245" s="382">
        <f t="shared" si="142"/>
        <v>21081.190000000002</v>
      </c>
      <c r="Z245" s="578">
        <f t="shared" si="143"/>
        <v>21081.190000000002</v>
      </c>
      <c r="AA245" s="724"/>
      <c r="AB245" s="725"/>
      <c r="AC245" s="675"/>
      <c r="AD245" s="677"/>
      <c r="AE245" s="726"/>
      <c r="AF245" s="11"/>
    </row>
    <row r="246" spans="1:32" ht="18.75">
      <c r="A246" s="708" t="s">
        <v>188</v>
      </c>
      <c r="B246" s="428">
        <f t="shared" si="130"/>
        <v>18240.10999999995</v>
      </c>
      <c r="C246" s="702">
        <v>44632.29</v>
      </c>
      <c r="D246" s="702">
        <v>40928.88</v>
      </c>
      <c r="E246" s="450"/>
      <c r="F246" s="428">
        <f t="shared" si="134"/>
        <v>21943.519999999953</v>
      </c>
      <c r="G246" s="285">
        <f t="shared" si="131"/>
        <v>4623.139999999999</v>
      </c>
      <c r="H246" s="1395">
        <v>382.12</v>
      </c>
      <c r="I246" s="436"/>
      <c r="J246" s="285">
        <f t="shared" si="135"/>
        <v>5005.259999999999</v>
      </c>
      <c r="K246" s="437">
        <f t="shared" si="132"/>
        <v>-56716.70999999999</v>
      </c>
      <c r="L246" s="1354">
        <v>2463.16</v>
      </c>
      <c r="M246" s="1391">
        <v>3557.12</v>
      </c>
      <c r="N246" s="437">
        <f t="shared" si="136"/>
        <v>-57810.66999999999</v>
      </c>
      <c r="O246" s="438">
        <f t="shared" si="133"/>
        <v>-4843.860000000001</v>
      </c>
      <c r="P246" s="480">
        <v>31.89</v>
      </c>
      <c r="Q246" s="480"/>
      <c r="R246" s="480">
        <v>37.41</v>
      </c>
      <c r="S246" s="301">
        <f t="shared" si="137"/>
        <v>-4849.38</v>
      </c>
      <c r="T246" s="296">
        <f t="shared" si="138"/>
        <v>37.41</v>
      </c>
      <c r="U246" s="793">
        <f t="shared" si="139"/>
        <v>3557.12</v>
      </c>
      <c r="V246" s="795">
        <f t="shared" si="144"/>
        <v>0</v>
      </c>
      <c r="W246" s="796">
        <f t="shared" si="140"/>
        <v>3594.5299999999997</v>
      </c>
      <c r="X246" s="444">
        <f t="shared" si="141"/>
        <v>47509.46000000001</v>
      </c>
      <c r="Y246" s="382">
        <f t="shared" si="142"/>
        <v>44523.41</v>
      </c>
      <c r="Z246" s="578">
        <f t="shared" si="143"/>
        <v>40966.29</v>
      </c>
      <c r="AA246" s="724"/>
      <c r="AB246" s="725"/>
      <c r="AC246" s="675"/>
      <c r="AD246" s="677"/>
      <c r="AE246" s="726"/>
      <c r="AF246" s="11"/>
    </row>
    <row r="247" spans="1:32" ht="18.75">
      <c r="A247" s="709" t="s">
        <v>189</v>
      </c>
      <c r="B247" s="428">
        <f t="shared" si="130"/>
        <v>77154.98000000004</v>
      </c>
      <c r="C247" s="702">
        <v>51798.79</v>
      </c>
      <c r="D247" s="702">
        <v>58012.35</v>
      </c>
      <c r="E247" s="450"/>
      <c r="F247" s="428">
        <f t="shared" si="134"/>
        <v>70941.42000000004</v>
      </c>
      <c r="G247" s="285">
        <f t="shared" si="131"/>
        <v>18755.88</v>
      </c>
      <c r="H247" s="1395">
        <v>2127.68</v>
      </c>
      <c r="I247" s="436"/>
      <c r="J247" s="285">
        <f t="shared" si="135"/>
        <v>20883.56</v>
      </c>
      <c r="K247" s="437">
        <f t="shared" si="132"/>
        <v>-13813.03</v>
      </c>
      <c r="L247" s="1354">
        <v>791.15</v>
      </c>
      <c r="M247" s="1392">
        <v>3155.64</v>
      </c>
      <c r="N247" s="437">
        <f t="shared" si="136"/>
        <v>-16177.52</v>
      </c>
      <c r="O247" s="438">
        <f t="shared" si="133"/>
        <v>-48251.11999999999</v>
      </c>
      <c r="P247" s="480">
        <v>78.87</v>
      </c>
      <c r="Q247" s="480"/>
      <c r="R247" s="480">
        <f>67.85+509.71</f>
        <v>577.56</v>
      </c>
      <c r="S247" s="301">
        <f t="shared" si="137"/>
        <v>-48749.80999999998</v>
      </c>
      <c r="T247" s="296">
        <f t="shared" si="138"/>
        <v>577.56</v>
      </c>
      <c r="U247" s="793">
        <f t="shared" si="139"/>
        <v>3155.64</v>
      </c>
      <c r="V247" s="795">
        <f t="shared" si="144"/>
        <v>0</v>
      </c>
      <c r="W247" s="796">
        <f t="shared" si="140"/>
        <v>3733.2</v>
      </c>
      <c r="X247" s="444">
        <f t="shared" si="141"/>
        <v>54796.490000000005</v>
      </c>
      <c r="Y247" s="382">
        <f t="shared" si="142"/>
        <v>61745.549999999996</v>
      </c>
      <c r="Z247" s="578">
        <f t="shared" si="143"/>
        <v>58589.909999999996</v>
      </c>
      <c r="AA247" s="724"/>
      <c r="AB247" s="725"/>
      <c r="AC247" s="675"/>
      <c r="AD247" s="677"/>
      <c r="AE247" s="726"/>
      <c r="AF247" s="11"/>
    </row>
    <row r="248" spans="1:32" ht="18.75">
      <c r="A248" s="709" t="s">
        <v>251</v>
      </c>
      <c r="B248" s="428">
        <f t="shared" si="130"/>
        <v>103591.12000000004</v>
      </c>
      <c r="C248" s="702">
        <v>47756.29</v>
      </c>
      <c r="D248" s="702">
        <v>45868.63</v>
      </c>
      <c r="E248" s="450"/>
      <c r="F248" s="428">
        <f t="shared" si="134"/>
        <v>105478.78000000003</v>
      </c>
      <c r="G248" s="285">
        <f t="shared" si="131"/>
        <v>0</v>
      </c>
      <c r="H248" s="1395"/>
      <c r="I248" s="436"/>
      <c r="J248" s="285">
        <f t="shared" si="135"/>
        <v>0</v>
      </c>
      <c r="K248" s="437">
        <f t="shared" si="132"/>
        <v>-62945.81</v>
      </c>
      <c r="L248" s="1354">
        <v>2174.33</v>
      </c>
      <c r="M248" s="1392">
        <v>2174.33</v>
      </c>
      <c r="N248" s="437">
        <f t="shared" si="136"/>
        <v>-62945.81</v>
      </c>
      <c r="O248" s="438">
        <f t="shared" si="133"/>
        <v>-60564.920000000006</v>
      </c>
      <c r="P248" s="480">
        <v>79.33</v>
      </c>
      <c r="Q248" s="480"/>
      <c r="R248" s="480">
        <v>79.33</v>
      </c>
      <c r="S248" s="301">
        <f t="shared" si="137"/>
        <v>-60564.920000000006</v>
      </c>
      <c r="T248" s="296">
        <f t="shared" si="138"/>
        <v>79.33</v>
      </c>
      <c r="U248" s="793">
        <f t="shared" si="139"/>
        <v>2174.33</v>
      </c>
      <c r="V248" s="795">
        <f t="shared" si="144"/>
        <v>0</v>
      </c>
      <c r="W248" s="796">
        <f t="shared" si="140"/>
        <v>2253.66</v>
      </c>
      <c r="X248" s="444">
        <f t="shared" si="141"/>
        <v>50009.950000000004</v>
      </c>
      <c r="Y248" s="382">
        <f t="shared" si="142"/>
        <v>48122.29</v>
      </c>
      <c r="Z248" s="578">
        <f t="shared" si="143"/>
        <v>45947.96</v>
      </c>
      <c r="AA248" s="724"/>
      <c r="AB248" s="725"/>
      <c r="AC248" s="675"/>
      <c r="AD248" s="677"/>
      <c r="AE248" s="726"/>
      <c r="AF248" s="11"/>
    </row>
    <row r="249" spans="1:32" ht="18.75">
      <c r="A249" s="709" t="s">
        <v>254</v>
      </c>
      <c r="B249" s="428">
        <f t="shared" si="130"/>
        <v>31380.120000000003</v>
      </c>
      <c r="C249" s="702">
        <v>17768.29</v>
      </c>
      <c r="D249" s="702">
        <v>16584.46</v>
      </c>
      <c r="E249" s="450"/>
      <c r="F249" s="428">
        <f t="shared" si="134"/>
        <v>32563.950000000004</v>
      </c>
      <c r="G249" s="285">
        <f t="shared" si="131"/>
        <v>0</v>
      </c>
      <c r="H249" s="1395"/>
      <c r="I249" s="436"/>
      <c r="J249" s="285">
        <f t="shared" si="135"/>
        <v>0</v>
      </c>
      <c r="K249" s="437">
        <f t="shared" si="132"/>
        <v>0</v>
      </c>
      <c r="L249" s="1354"/>
      <c r="M249" s="1392"/>
      <c r="N249" s="437">
        <f t="shared" si="136"/>
        <v>0</v>
      </c>
      <c r="O249" s="438">
        <f t="shared" si="133"/>
        <v>-3712.7000000000003</v>
      </c>
      <c r="P249" s="480">
        <v>90.66</v>
      </c>
      <c r="Q249" s="480"/>
      <c r="R249" s="480">
        <v>110.7</v>
      </c>
      <c r="S249" s="301">
        <f t="shared" si="137"/>
        <v>-3732.7400000000002</v>
      </c>
      <c r="T249" s="296">
        <f t="shared" si="138"/>
        <v>110.7</v>
      </c>
      <c r="U249" s="793">
        <f t="shared" si="139"/>
        <v>0</v>
      </c>
      <c r="V249" s="795">
        <f t="shared" si="144"/>
        <v>0</v>
      </c>
      <c r="W249" s="796">
        <f t="shared" si="140"/>
        <v>110.7</v>
      </c>
      <c r="X249" s="444">
        <f t="shared" si="141"/>
        <v>17858.95</v>
      </c>
      <c r="Y249" s="382">
        <f t="shared" si="142"/>
        <v>16695.16</v>
      </c>
      <c r="Z249" s="578">
        <f t="shared" si="143"/>
        <v>16695.16</v>
      </c>
      <c r="AA249" s="724"/>
      <c r="AB249" s="725"/>
      <c r="AC249" s="675"/>
      <c r="AD249" s="677"/>
      <c r="AE249" s="726"/>
      <c r="AF249" s="11"/>
    </row>
    <row r="250" spans="1:32" ht="18.75">
      <c r="A250" s="709" t="s">
        <v>302</v>
      </c>
      <c r="B250" s="428">
        <f t="shared" si="130"/>
        <v>314606.1699999998</v>
      </c>
      <c r="C250" s="702">
        <v>62542.15</v>
      </c>
      <c r="D250" s="702">
        <v>73316.06</v>
      </c>
      <c r="E250" s="450"/>
      <c r="F250" s="428">
        <f t="shared" si="134"/>
        <v>303832.25999999983</v>
      </c>
      <c r="G250" s="285">
        <v>0</v>
      </c>
      <c r="H250" s="1396"/>
      <c r="I250" s="436"/>
      <c r="J250" s="285">
        <f t="shared" si="135"/>
        <v>0</v>
      </c>
      <c r="K250" s="437">
        <v>0</v>
      </c>
      <c r="L250" s="1352">
        <v>1889.09</v>
      </c>
      <c r="M250" s="1392">
        <v>1889.09</v>
      </c>
      <c r="N250" s="437">
        <f t="shared" si="136"/>
        <v>0</v>
      </c>
      <c r="O250" s="438">
        <v>0</v>
      </c>
      <c r="P250" s="480">
        <v>490.66</v>
      </c>
      <c r="Q250" s="480"/>
      <c r="R250" s="480">
        <f>493.71+2340.93</f>
        <v>2834.64</v>
      </c>
      <c r="S250" s="301">
        <f t="shared" si="137"/>
        <v>-2343.98</v>
      </c>
      <c r="T250" s="296">
        <f t="shared" si="138"/>
        <v>2834.64</v>
      </c>
      <c r="U250" s="793">
        <f t="shared" si="139"/>
        <v>1889.09</v>
      </c>
      <c r="V250" s="795">
        <f t="shared" si="144"/>
        <v>0</v>
      </c>
      <c r="W250" s="796">
        <f t="shared" si="140"/>
        <v>4723.73</v>
      </c>
      <c r="X250" s="444">
        <f t="shared" si="141"/>
        <v>64921.9</v>
      </c>
      <c r="Y250" s="382">
        <f t="shared" si="142"/>
        <v>78039.79</v>
      </c>
      <c r="Z250" s="578">
        <f t="shared" si="143"/>
        <v>76150.7</v>
      </c>
      <c r="AA250" s="724"/>
      <c r="AB250" s="725"/>
      <c r="AC250" s="675"/>
      <c r="AD250" s="677"/>
      <c r="AE250" s="726"/>
      <c r="AF250" s="11"/>
    </row>
    <row r="251" spans="1:32" ht="18.75">
      <c r="A251" s="708" t="s">
        <v>321</v>
      </c>
      <c r="B251" s="428">
        <f t="shared" si="130"/>
        <v>258997.93999999992</v>
      </c>
      <c r="C251" s="702">
        <v>63992.51</v>
      </c>
      <c r="D251" s="702">
        <v>79508.14</v>
      </c>
      <c r="E251" s="450"/>
      <c r="F251" s="428">
        <f t="shared" si="134"/>
        <v>243482.30999999988</v>
      </c>
      <c r="G251" s="285">
        <v>0</v>
      </c>
      <c r="H251" s="1396"/>
      <c r="I251" s="436"/>
      <c r="J251" s="285">
        <f t="shared" si="135"/>
        <v>0</v>
      </c>
      <c r="K251" s="437">
        <v>0</v>
      </c>
      <c r="L251" s="1352">
        <v>6247.31</v>
      </c>
      <c r="M251" s="1392">
        <v>5419.68</v>
      </c>
      <c r="N251" s="437">
        <f t="shared" si="136"/>
        <v>827.6300000000001</v>
      </c>
      <c r="O251" s="438">
        <v>0</v>
      </c>
      <c r="P251" s="480">
        <v>436.39</v>
      </c>
      <c r="Q251" s="480"/>
      <c r="R251" s="480">
        <f>521.87+6941.47</f>
        <v>7463.34</v>
      </c>
      <c r="S251" s="301">
        <f t="shared" si="137"/>
        <v>-7026.95</v>
      </c>
      <c r="T251" s="296">
        <f t="shared" si="138"/>
        <v>7463.34</v>
      </c>
      <c r="U251" s="793">
        <f t="shared" si="139"/>
        <v>5419.68</v>
      </c>
      <c r="V251" s="795">
        <f t="shared" si="144"/>
        <v>0</v>
      </c>
      <c r="W251" s="796">
        <f t="shared" si="140"/>
        <v>12883.02</v>
      </c>
      <c r="X251" s="444">
        <f t="shared" si="141"/>
        <v>70676.21</v>
      </c>
      <c r="Y251" s="382">
        <f t="shared" si="142"/>
        <v>92391.16</v>
      </c>
      <c r="Z251" s="578">
        <f t="shared" si="143"/>
        <v>86971.48</v>
      </c>
      <c r="AA251" s="724"/>
      <c r="AB251" s="725"/>
      <c r="AC251" s="675"/>
      <c r="AD251" s="677"/>
      <c r="AE251" s="726"/>
      <c r="AF251" s="11"/>
    </row>
    <row r="252" spans="1:32" ht="18.75">
      <c r="A252" s="1308" t="s">
        <v>127</v>
      </c>
      <c r="B252" s="1303">
        <f>SUM(B225:B251)</f>
        <v>2301489.550000001</v>
      </c>
      <c r="C252" s="1310">
        <f>SUM(C225:C251)</f>
        <v>1072415.7300000004</v>
      </c>
      <c r="D252" s="1310">
        <f>SUM(D225:D251)</f>
        <v>1092300.04</v>
      </c>
      <c r="E252" s="1304"/>
      <c r="F252" s="1304">
        <f>SUM(F225:F251)</f>
        <v>2281605.2400000016</v>
      </c>
      <c r="G252" s="1304">
        <f>SUM(G225:G251)</f>
        <v>175316.18</v>
      </c>
      <c r="H252" s="1394">
        <f>SUM(H225:H247)</f>
        <v>10373.919999999998</v>
      </c>
      <c r="I252" s="1313">
        <v>0</v>
      </c>
      <c r="J252" s="1304">
        <f aca="true" t="shared" si="145" ref="J252:O252">SUM(J225:J251)</f>
        <v>185690.09999999998</v>
      </c>
      <c r="K252" s="1304">
        <f t="shared" si="145"/>
        <v>-109603.16999999998</v>
      </c>
      <c r="L252" s="1355">
        <f t="shared" si="145"/>
        <v>37672.71</v>
      </c>
      <c r="M252" s="1304">
        <f t="shared" si="145"/>
        <v>39157.74999999999</v>
      </c>
      <c r="N252" s="1304">
        <f t="shared" si="145"/>
        <v>-111088.20999999998</v>
      </c>
      <c r="O252" s="1304">
        <f t="shared" si="145"/>
        <v>-120590.04999999999</v>
      </c>
      <c r="P252" s="1304">
        <f>SUM(P225:P251)</f>
        <v>2243.16</v>
      </c>
      <c r="Q252" s="1304"/>
      <c r="R252" s="1304">
        <f>SUM(R225:R251)</f>
        <v>12228.25</v>
      </c>
      <c r="S252" s="1304">
        <f>SUM(S225:S251)</f>
        <v>-130575.13999999998</v>
      </c>
      <c r="T252" s="1311">
        <f aca="true" t="shared" si="146" ref="T252:Z252">SUM(T225:T251)</f>
        <v>12228.25</v>
      </c>
      <c r="U252" s="1311">
        <f t="shared" si="146"/>
        <v>39157.74999999999</v>
      </c>
      <c r="V252" s="1314">
        <f t="shared" si="146"/>
        <v>0</v>
      </c>
      <c r="W252" s="1312">
        <f t="shared" si="146"/>
        <v>51386</v>
      </c>
      <c r="X252" s="1314">
        <f t="shared" si="146"/>
        <v>1122705.5199999998</v>
      </c>
      <c r="Y252" s="1314">
        <f t="shared" si="146"/>
        <v>1143686.04</v>
      </c>
      <c r="Z252" s="1315">
        <f t="shared" si="146"/>
        <v>1104528.29</v>
      </c>
      <c r="AA252" s="724"/>
      <c r="AB252" s="725"/>
      <c r="AC252" s="675"/>
      <c r="AD252" s="677"/>
      <c r="AE252" s="726"/>
      <c r="AF252" s="11"/>
    </row>
    <row r="253" spans="1:32" s="667" customFormat="1" ht="18.75">
      <c r="A253" s="867"/>
      <c r="B253" s="929"/>
      <c r="C253" s="858"/>
      <c r="D253" s="858"/>
      <c r="E253" s="677"/>
      <c r="F253" s="930"/>
      <c r="G253" s="677"/>
      <c r="H253" s="932"/>
      <c r="I253" s="933"/>
      <c r="J253" s="930">
        <f>SUM(J225:J250)</f>
        <v>185690.09999999998</v>
      </c>
      <c r="K253" s="930"/>
      <c r="L253" s="934"/>
      <c r="M253" s="935"/>
      <c r="N253" s="677"/>
      <c r="O253" s="677"/>
      <c r="P253" s="936"/>
      <c r="Q253" s="677"/>
      <c r="R253" s="936"/>
      <c r="S253" s="677"/>
      <c r="T253" s="937"/>
      <c r="U253" s="938"/>
      <c r="V253" s="724">
        <f>SUM(V225:V252)</f>
        <v>0</v>
      </c>
      <c r="W253" s="939"/>
      <c r="X253" s="724"/>
      <c r="Y253" s="724"/>
      <c r="Z253" s="724"/>
      <c r="AA253" s="724"/>
      <c r="AB253" s="725"/>
      <c r="AC253" s="675"/>
      <c r="AD253" s="677"/>
      <c r="AE253" s="726"/>
      <c r="AF253" s="550"/>
    </row>
    <row r="254" spans="1:31" ht="18.75">
      <c r="A254" s="68"/>
      <c r="B254" s="69" t="s">
        <v>455</v>
      </c>
      <c r="C254" s="69"/>
      <c r="D254" s="69"/>
      <c r="E254" s="69"/>
      <c r="F254" s="68"/>
      <c r="G254" s="5"/>
      <c r="H254" s="4"/>
      <c r="I254" s="5"/>
      <c r="J254" s="240" t="s">
        <v>61</v>
      </c>
      <c r="K254" s="6"/>
      <c r="L254" s="475"/>
      <c r="M254" s="710"/>
      <c r="O254" s="2"/>
      <c r="R254" s="68"/>
      <c r="S254" s="240" t="s">
        <v>61</v>
      </c>
      <c r="AB254" s="1677"/>
      <c r="AC254" s="1677"/>
      <c r="AD254" s="1677"/>
      <c r="AE254" s="11"/>
    </row>
    <row r="255" spans="1:31" ht="23.25">
      <c r="A255" s="409" t="s">
        <v>131</v>
      </c>
      <c r="B255" s="1670" t="s">
        <v>205</v>
      </c>
      <c r="C255" s="1585" t="s">
        <v>2</v>
      </c>
      <c r="D255" s="1586"/>
      <c r="E255" s="1586"/>
      <c r="F255" s="1591"/>
      <c r="G255" s="85" t="s">
        <v>27</v>
      </c>
      <c r="H255" s="1594" t="s">
        <v>3</v>
      </c>
      <c r="I255" s="1595"/>
      <c r="J255" s="1596"/>
      <c r="K255" s="88" t="s">
        <v>27</v>
      </c>
      <c r="L255" s="1612" t="s">
        <v>4</v>
      </c>
      <c r="M255" s="1612"/>
      <c r="N255" s="1612"/>
      <c r="O255" s="84" t="s">
        <v>27</v>
      </c>
      <c r="P255" s="1613" t="s">
        <v>23</v>
      </c>
      <c r="Q255" s="1613"/>
      <c r="R255" s="1613"/>
      <c r="S255" s="1613"/>
      <c r="T255" s="1576" t="s">
        <v>457</v>
      </c>
      <c r="U255" s="1577"/>
      <c r="V255" s="1577"/>
      <c r="W255" s="1578"/>
      <c r="AB255" s="1588" t="s">
        <v>459</v>
      </c>
      <c r="AC255" s="1589"/>
      <c r="AD255" s="1590"/>
      <c r="AE255" s="11"/>
    </row>
    <row r="256" spans="1:31" ht="69" customHeight="1">
      <c r="A256" s="416" t="s">
        <v>1</v>
      </c>
      <c r="B256" s="1671"/>
      <c r="C256" s="81" t="s">
        <v>5</v>
      </c>
      <c r="D256" s="81" t="s">
        <v>6</v>
      </c>
      <c r="E256" s="81" t="s">
        <v>65</v>
      </c>
      <c r="F256" s="81" t="s">
        <v>312</v>
      </c>
      <c r="G256" s="86" t="s">
        <v>205</v>
      </c>
      <c r="H256" s="1201" t="s">
        <v>5</v>
      </c>
      <c r="I256" s="1201" t="s">
        <v>6</v>
      </c>
      <c r="J256" s="86" t="s">
        <v>456</v>
      </c>
      <c r="K256" s="1196" t="s">
        <v>205</v>
      </c>
      <c r="L256" s="1196" t="s">
        <v>5</v>
      </c>
      <c r="M256" s="1196" t="s">
        <v>6</v>
      </c>
      <c r="N256" s="1196" t="s">
        <v>206</v>
      </c>
      <c r="O256" s="1204" t="s">
        <v>205</v>
      </c>
      <c r="P256" s="1204" t="s">
        <v>5</v>
      </c>
      <c r="Q256" s="1204" t="s">
        <v>64</v>
      </c>
      <c r="R256" s="1204" t="s">
        <v>6</v>
      </c>
      <c r="S256" s="1204" t="s">
        <v>206</v>
      </c>
      <c r="T256" s="71" t="s">
        <v>94</v>
      </c>
      <c r="U256" s="71" t="s">
        <v>69</v>
      </c>
      <c r="V256" s="71" t="s">
        <v>95</v>
      </c>
      <c r="W256" s="71" t="s">
        <v>158</v>
      </c>
      <c r="X256" s="269" t="s">
        <v>106</v>
      </c>
      <c r="Y256" s="269" t="s">
        <v>107</v>
      </c>
      <c r="Z256" s="593" t="s">
        <v>159</v>
      </c>
      <c r="AB256" s="8" t="s">
        <v>204</v>
      </c>
      <c r="AC256" s="8" t="s">
        <v>458</v>
      </c>
      <c r="AD256" s="41"/>
      <c r="AE256" s="11"/>
    </row>
    <row r="257" spans="1:31" ht="17.25" customHeight="1">
      <c r="A257" s="431" t="s">
        <v>47</v>
      </c>
      <c r="B257" s="74">
        <f aca="true" t="shared" si="147" ref="B257:B276">F225</f>
        <v>113775.61999999994</v>
      </c>
      <c r="C257" s="246">
        <v>15241.23</v>
      </c>
      <c r="D257" s="246">
        <v>13469.86</v>
      </c>
      <c r="E257" s="72"/>
      <c r="F257" s="74">
        <f>B257+C257-D257</f>
        <v>115546.98999999993</v>
      </c>
      <c r="G257" s="258">
        <f aca="true" t="shared" si="148" ref="G257:G283">J225</f>
        <v>30260.269999999982</v>
      </c>
      <c r="H257" s="1393">
        <v>1219.32</v>
      </c>
      <c r="I257" s="260"/>
      <c r="J257" s="258">
        <f>G257+H257-I257</f>
        <v>31479.589999999982</v>
      </c>
      <c r="K257" s="78">
        <f aca="true" t="shared" si="149" ref="K257:K283">N225</f>
        <v>-545.3099999999995</v>
      </c>
      <c r="L257" s="1352">
        <v>4819.88</v>
      </c>
      <c r="M257" s="1387">
        <v>4819.88</v>
      </c>
      <c r="N257" s="108">
        <f>K257+L257-M257</f>
        <v>-545.3099999999995</v>
      </c>
      <c r="O257" s="261">
        <f aca="true" t="shared" si="150" ref="O257:O283">S225</f>
        <v>-1507.98</v>
      </c>
      <c r="P257" s="266">
        <v>54.73</v>
      </c>
      <c r="Q257" s="265"/>
      <c r="R257" s="266">
        <v>77.8</v>
      </c>
      <c r="S257" s="263">
        <f>O257+P257-R257</f>
        <v>-1531.05</v>
      </c>
      <c r="T257" s="588">
        <f>R257</f>
        <v>77.8</v>
      </c>
      <c r="U257" s="588">
        <f>M257</f>
        <v>4819.88</v>
      </c>
      <c r="V257" s="589">
        <f>I257</f>
        <v>0</v>
      </c>
      <c r="W257" s="590">
        <f>T257+U257+V257</f>
        <v>4897.68</v>
      </c>
      <c r="X257" s="271">
        <f>C257+H257+L257+P257</f>
        <v>21335.16</v>
      </c>
      <c r="Y257" s="272">
        <f>D257+I257+M257+R257</f>
        <v>18367.54</v>
      </c>
      <c r="Z257" s="578">
        <f>D257+R257</f>
        <v>13547.66</v>
      </c>
      <c r="AB257" s="8">
        <f aca="true" t="shared" si="151" ref="AB257:AB283">AC193+X225+X257</f>
        <v>63978.229999999996</v>
      </c>
      <c r="AC257" s="8">
        <f aca="true" t="shared" si="152" ref="AC257:AC283">Z257+Z225+AE193+AB193</f>
        <v>54400.549999999996</v>
      </c>
      <c r="AD257" s="41"/>
      <c r="AE257" s="11"/>
    </row>
    <row r="258" spans="1:31" ht="21.75" customHeight="1">
      <c r="A258" s="431" t="s">
        <v>53</v>
      </c>
      <c r="B258" s="74">
        <f t="shared" si="147"/>
        <v>129485.45000000024</v>
      </c>
      <c r="C258" s="246">
        <v>33877.29</v>
      </c>
      <c r="D258" s="246">
        <v>31911.47</v>
      </c>
      <c r="E258" s="72"/>
      <c r="F258" s="74">
        <f aca="true" t="shared" si="153" ref="F258:F283">B258+C258-D258</f>
        <v>131451.27000000025</v>
      </c>
      <c r="G258" s="258">
        <f t="shared" si="148"/>
        <v>1741.6599999999994</v>
      </c>
      <c r="H258" s="1393">
        <v>294.05</v>
      </c>
      <c r="I258" s="260"/>
      <c r="J258" s="258">
        <f aca="true" t="shared" si="154" ref="J258:J283">G258+H258-I258</f>
        <v>2035.7099999999994</v>
      </c>
      <c r="K258" s="78">
        <f t="shared" si="149"/>
        <v>-3623.4</v>
      </c>
      <c r="L258" s="1352">
        <v>137.45</v>
      </c>
      <c r="M258" s="1387">
        <v>137.45</v>
      </c>
      <c r="N258" s="108">
        <f aca="true" t="shared" si="155" ref="N258:N283">K258+L258-M258</f>
        <v>-3623.4</v>
      </c>
      <c r="O258" s="261">
        <f t="shared" si="150"/>
        <v>136.96000000000004</v>
      </c>
      <c r="P258" s="266">
        <v>16.91</v>
      </c>
      <c r="Q258" s="265"/>
      <c r="R258" s="266">
        <v>16.61</v>
      </c>
      <c r="S258" s="263">
        <f aca="true" t="shared" si="156" ref="S258:S283">O258+P258-R258</f>
        <v>137.26000000000005</v>
      </c>
      <c r="T258" s="588">
        <f aca="true" t="shared" si="157" ref="T258:T283">R258</f>
        <v>16.61</v>
      </c>
      <c r="U258" s="588">
        <f aca="true" t="shared" si="158" ref="U258:U283">M258</f>
        <v>137.45</v>
      </c>
      <c r="V258" s="589">
        <f>I258</f>
        <v>0</v>
      </c>
      <c r="W258" s="590">
        <f aca="true" t="shared" si="159" ref="W258:W283">T258+U258+V258</f>
        <v>154.06</v>
      </c>
      <c r="X258" s="271">
        <f aca="true" t="shared" si="160" ref="X258:X283">C258+H258+L258+P258</f>
        <v>34325.700000000004</v>
      </c>
      <c r="Y258" s="272">
        <f aca="true" t="shared" si="161" ref="Y258:Y283">D258+I258+M258+R258</f>
        <v>32065.530000000002</v>
      </c>
      <c r="Z258" s="578">
        <f aca="true" t="shared" si="162" ref="Z258:Z283">D258+R258</f>
        <v>31928.08</v>
      </c>
      <c r="AB258" s="8">
        <f t="shared" si="151"/>
        <v>103043.58000000002</v>
      </c>
      <c r="AC258" s="8">
        <f t="shared" si="152"/>
        <v>97104.59999999999</v>
      </c>
      <c r="AD258" s="41"/>
      <c r="AE258" s="11"/>
    </row>
    <row r="259" spans="1:31" ht="18.75">
      <c r="A259" s="431" t="s">
        <v>8</v>
      </c>
      <c r="B259" s="74">
        <f t="shared" si="147"/>
        <v>74445.62</v>
      </c>
      <c r="C259" s="74"/>
      <c r="D259" s="74"/>
      <c r="E259" s="74"/>
      <c r="F259" s="74">
        <f t="shared" si="153"/>
        <v>74445.62</v>
      </c>
      <c r="G259" s="258">
        <f t="shared" si="148"/>
        <v>0</v>
      </c>
      <c r="H259" s="1076"/>
      <c r="I259" s="260"/>
      <c r="J259" s="258">
        <f t="shared" si="154"/>
        <v>0</v>
      </c>
      <c r="K259" s="78">
        <f t="shared" si="149"/>
        <v>0</v>
      </c>
      <c r="L259" s="1405"/>
      <c r="M259" s="1414"/>
      <c r="N259" s="108">
        <f t="shared" si="155"/>
        <v>0</v>
      </c>
      <c r="O259" s="261">
        <f t="shared" si="150"/>
        <v>0</v>
      </c>
      <c r="P259" s="263"/>
      <c r="Q259" s="263"/>
      <c r="R259" s="267"/>
      <c r="S259" s="263">
        <f t="shared" si="156"/>
        <v>0</v>
      </c>
      <c r="T259" s="588">
        <f t="shared" si="157"/>
        <v>0</v>
      </c>
      <c r="U259" s="588">
        <f t="shared" si="158"/>
        <v>0</v>
      </c>
      <c r="V259" s="589">
        <f>I259</f>
        <v>0</v>
      </c>
      <c r="W259" s="590">
        <f t="shared" si="159"/>
        <v>0</v>
      </c>
      <c r="X259" s="271">
        <f t="shared" si="160"/>
        <v>0</v>
      </c>
      <c r="Y259" s="272">
        <f t="shared" si="161"/>
        <v>0</v>
      </c>
      <c r="Z259" s="578">
        <f t="shared" si="162"/>
        <v>0</v>
      </c>
      <c r="AB259" s="8">
        <f t="shared" si="151"/>
        <v>0</v>
      </c>
      <c r="AC259" s="8">
        <f t="shared" si="152"/>
        <v>0</v>
      </c>
      <c r="AD259" s="41"/>
      <c r="AE259" s="11"/>
    </row>
    <row r="260" spans="1:31" ht="18.75">
      <c r="A260" s="431" t="s">
        <v>48</v>
      </c>
      <c r="B260" s="74">
        <f t="shared" si="147"/>
        <v>385454.3700000002</v>
      </c>
      <c r="C260" s="74">
        <v>82000.73</v>
      </c>
      <c r="D260" s="74">
        <v>73771.95</v>
      </c>
      <c r="E260" s="74"/>
      <c r="F260" s="74">
        <f t="shared" si="153"/>
        <v>393683.1500000002</v>
      </c>
      <c r="G260" s="258">
        <f t="shared" si="148"/>
        <v>31060.449999999997</v>
      </c>
      <c r="H260" s="1076">
        <v>1401.11</v>
      </c>
      <c r="I260" s="260"/>
      <c r="J260" s="258">
        <f t="shared" si="154"/>
        <v>32461.559999999998</v>
      </c>
      <c r="K260" s="78">
        <f t="shared" si="149"/>
        <v>-1233.249999999999</v>
      </c>
      <c r="L260" s="1352">
        <v>1696.52</v>
      </c>
      <c r="M260" s="683">
        <v>905.37</v>
      </c>
      <c r="N260" s="108">
        <f t="shared" si="155"/>
        <v>-442.0999999999991</v>
      </c>
      <c r="O260" s="261">
        <f t="shared" si="150"/>
        <v>-1848.0399999999995</v>
      </c>
      <c r="P260" s="263">
        <v>108.4</v>
      </c>
      <c r="Q260" s="263"/>
      <c r="R260" s="263">
        <v>116.17</v>
      </c>
      <c r="S260" s="263">
        <f t="shared" si="156"/>
        <v>-1855.8099999999995</v>
      </c>
      <c r="T260" s="588">
        <f t="shared" si="157"/>
        <v>116.17</v>
      </c>
      <c r="U260" s="588">
        <f t="shared" si="158"/>
        <v>905.37</v>
      </c>
      <c r="V260" s="589">
        <f aca="true" t="shared" si="163" ref="V260:V283">I260</f>
        <v>0</v>
      </c>
      <c r="W260" s="590">
        <f t="shared" si="159"/>
        <v>1021.54</v>
      </c>
      <c r="X260" s="271">
        <f t="shared" si="160"/>
        <v>85206.76</v>
      </c>
      <c r="Y260" s="272">
        <f t="shared" si="161"/>
        <v>74793.48999999999</v>
      </c>
      <c r="Z260" s="578">
        <f t="shared" si="162"/>
        <v>73888.12</v>
      </c>
      <c r="AB260" s="8">
        <f t="shared" si="151"/>
        <v>254936.27999999997</v>
      </c>
      <c r="AC260" s="8">
        <f t="shared" si="152"/>
        <v>247951.7</v>
      </c>
      <c r="AD260" s="41"/>
      <c r="AE260" s="11"/>
    </row>
    <row r="261" spans="1:31" ht="18.75">
      <c r="A261" s="431" t="s">
        <v>9</v>
      </c>
      <c r="B261" s="74">
        <f t="shared" si="147"/>
        <v>129507.23000000004</v>
      </c>
      <c r="C261" s="74">
        <v>20363.74</v>
      </c>
      <c r="D261" s="74">
        <v>17271.23</v>
      </c>
      <c r="E261" s="74"/>
      <c r="F261" s="74">
        <f t="shared" si="153"/>
        <v>132599.74000000002</v>
      </c>
      <c r="G261" s="258">
        <f t="shared" si="148"/>
        <v>36665.859999999986</v>
      </c>
      <c r="H261" s="1076">
        <f>1508.75+112.42</f>
        <v>1621.17</v>
      </c>
      <c r="I261" s="260"/>
      <c r="J261" s="258">
        <f t="shared" si="154"/>
        <v>38287.029999999984</v>
      </c>
      <c r="K261" s="78">
        <f t="shared" si="149"/>
        <v>0</v>
      </c>
      <c r="L261" s="1405"/>
      <c r="M261" s="1414"/>
      <c r="N261" s="108">
        <f t="shared" si="155"/>
        <v>0</v>
      </c>
      <c r="O261" s="261">
        <f t="shared" si="150"/>
        <v>1092.8299999999997</v>
      </c>
      <c r="P261" s="263">
        <v>80.45</v>
      </c>
      <c r="Q261" s="263"/>
      <c r="R261" s="263">
        <v>82.16</v>
      </c>
      <c r="S261" s="263">
        <f t="shared" si="156"/>
        <v>1091.1199999999997</v>
      </c>
      <c r="T261" s="588">
        <f t="shared" si="157"/>
        <v>82.16</v>
      </c>
      <c r="U261" s="588">
        <f t="shared" si="158"/>
        <v>0</v>
      </c>
      <c r="V261" s="589">
        <f t="shared" si="163"/>
        <v>0</v>
      </c>
      <c r="W261" s="590">
        <f t="shared" si="159"/>
        <v>82.16</v>
      </c>
      <c r="X261" s="271">
        <f t="shared" si="160"/>
        <v>22065.360000000004</v>
      </c>
      <c r="Y261" s="272">
        <f t="shared" si="161"/>
        <v>17353.39</v>
      </c>
      <c r="Z261" s="578">
        <f t="shared" si="162"/>
        <v>17353.39</v>
      </c>
      <c r="AB261" s="8">
        <f t="shared" si="151"/>
        <v>66063.91000000002</v>
      </c>
      <c r="AC261" s="8">
        <f t="shared" si="152"/>
        <v>60688.229999999996</v>
      </c>
      <c r="AD261" s="41"/>
      <c r="AE261" s="11"/>
    </row>
    <row r="262" spans="1:31" ht="18.75">
      <c r="A262" s="431" t="s">
        <v>10</v>
      </c>
      <c r="B262" s="74">
        <f t="shared" si="147"/>
        <v>9156.120000000097</v>
      </c>
      <c r="C262" s="74">
        <v>8796.01</v>
      </c>
      <c r="D262" s="74">
        <v>8075.65</v>
      </c>
      <c r="E262" s="74"/>
      <c r="F262" s="74">
        <f t="shared" si="153"/>
        <v>9876.4800000001</v>
      </c>
      <c r="G262" s="258">
        <f t="shared" si="148"/>
        <v>0</v>
      </c>
      <c r="H262" s="1076"/>
      <c r="I262" s="260"/>
      <c r="J262" s="258">
        <f t="shared" si="154"/>
        <v>0</v>
      </c>
      <c r="K262" s="78">
        <f t="shared" si="149"/>
        <v>0</v>
      </c>
      <c r="L262" s="1406"/>
      <c r="M262" s="1414"/>
      <c r="N262" s="108">
        <f t="shared" si="155"/>
        <v>0</v>
      </c>
      <c r="O262" s="261">
        <f t="shared" si="150"/>
        <v>47.67999999999999</v>
      </c>
      <c r="P262" s="263"/>
      <c r="Q262" s="263"/>
      <c r="R262" s="263"/>
      <c r="S262" s="263">
        <f t="shared" si="156"/>
        <v>47.67999999999999</v>
      </c>
      <c r="T262" s="588">
        <f t="shared" si="157"/>
        <v>0</v>
      </c>
      <c r="U262" s="588">
        <f t="shared" si="158"/>
        <v>0</v>
      </c>
      <c r="V262" s="589">
        <f t="shared" si="163"/>
        <v>0</v>
      </c>
      <c r="W262" s="590">
        <f t="shared" si="159"/>
        <v>0</v>
      </c>
      <c r="X262" s="271">
        <f t="shared" si="160"/>
        <v>8796.01</v>
      </c>
      <c r="Y262" s="272">
        <f t="shared" si="161"/>
        <v>8075.65</v>
      </c>
      <c r="Z262" s="578">
        <f t="shared" si="162"/>
        <v>8075.65</v>
      </c>
      <c r="AB262" s="8">
        <f t="shared" si="151"/>
        <v>26388.75</v>
      </c>
      <c r="AC262" s="8">
        <f t="shared" si="152"/>
        <v>25729.23</v>
      </c>
      <c r="AD262" s="41"/>
      <c r="AE262" s="11"/>
    </row>
    <row r="263" spans="1:31" ht="18.75">
      <c r="A263" s="431" t="s">
        <v>11</v>
      </c>
      <c r="B263" s="74">
        <f t="shared" si="147"/>
        <v>10331.09000000003</v>
      </c>
      <c r="C263" s="74">
        <v>8764.88</v>
      </c>
      <c r="D263" s="74">
        <v>12953.07</v>
      </c>
      <c r="E263" s="74"/>
      <c r="F263" s="74">
        <f t="shared" si="153"/>
        <v>6142.900000000031</v>
      </c>
      <c r="G263" s="258">
        <f t="shared" si="148"/>
        <v>0</v>
      </c>
      <c r="H263" s="1076"/>
      <c r="I263" s="260"/>
      <c r="J263" s="258">
        <f t="shared" si="154"/>
        <v>0</v>
      </c>
      <c r="K263" s="78">
        <f t="shared" si="149"/>
        <v>0</v>
      </c>
      <c r="L263" s="1406"/>
      <c r="M263" s="1414"/>
      <c r="N263" s="108">
        <f t="shared" si="155"/>
        <v>0</v>
      </c>
      <c r="O263" s="261">
        <f t="shared" si="150"/>
        <v>89.53</v>
      </c>
      <c r="P263" s="263">
        <v>62.77</v>
      </c>
      <c r="Q263" s="263"/>
      <c r="R263" s="263">
        <v>62.77</v>
      </c>
      <c r="S263" s="263">
        <f t="shared" si="156"/>
        <v>89.53</v>
      </c>
      <c r="T263" s="588">
        <f t="shared" si="157"/>
        <v>62.77</v>
      </c>
      <c r="U263" s="588">
        <f t="shared" si="158"/>
        <v>0</v>
      </c>
      <c r="V263" s="589">
        <f t="shared" si="163"/>
        <v>0</v>
      </c>
      <c r="W263" s="590">
        <f t="shared" si="159"/>
        <v>62.77</v>
      </c>
      <c r="X263" s="271">
        <f t="shared" si="160"/>
        <v>8827.65</v>
      </c>
      <c r="Y263" s="272">
        <f t="shared" si="161"/>
        <v>13015.84</v>
      </c>
      <c r="Z263" s="578">
        <f t="shared" si="162"/>
        <v>13015.84</v>
      </c>
      <c r="AB263" s="8">
        <f t="shared" si="151"/>
        <v>26358.54</v>
      </c>
      <c r="AC263" s="8">
        <f t="shared" si="152"/>
        <v>30426.940000000002</v>
      </c>
      <c r="AD263" s="41"/>
      <c r="AE263" s="11"/>
    </row>
    <row r="264" spans="1:31" ht="18.75">
      <c r="A264" s="431" t="s">
        <v>12</v>
      </c>
      <c r="B264" s="74">
        <f t="shared" si="147"/>
        <v>93293.34000000017</v>
      </c>
      <c r="C264" s="74">
        <v>50196.55</v>
      </c>
      <c r="D264" s="74">
        <v>45270.95</v>
      </c>
      <c r="E264" s="74"/>
      <c r="F264" s="74">
        <f t="shared" si="153"/>
        <v>98218.94000000019</v>
      </c>
      <c r="G264" s="258">
        <f t="shared" si="148"/>
        <v>10226.539999999994</v>
      </c>
      <c r="H264" s="1076">
        <v>583.65</v>
      </c>
      <c r="I264" s="260"/>
      <c r="J264" s="258">
        <f t="shared" si="154"/>
        <v>10810.189999999993</v>
      </c>
      <c r="K264" s="78">
        <f t="shared" si="149"/>
        <v>1508.3999999999985</v>
      </c>
      <c r="L264" s="1352">
        <v>1722.24</v>
      </c>
      <c r="M264" s="683">
        <v>1722.24</v>
      </c>
      <c r="N264" s="108">
        <f t="shared" si="155"/>
        <v>1508.3999999999985</v>
      </c>
      <c r="O264" s="261">
        <f t="shared" si="150"/>
        <v>332.15</v>
      </c>
      <c r="P264" s="263">
        <v>91.22</v>
      </c>
      <c r="Q264" s="263"/>
      <c r="R264" s="263">
        <v>174.88</v>
      </c>
      <c r="S264" s="263">
        <f t="shared" si="156"/>
        <v>248.49</v>
      </c>
      <c r="T264" s="588">
        <f t="shared" si="157"/>
        <v>174.88</v>
      </c>
      <c r="U264" s="588">
        <f t="shared" si="158"/>
        <v>1722.24</v>
      </c>
      <c r="V264" s="589">
        <f t="shared" si="163"/>
        <v>0</v>
      </c>
      <c r="W264" s="590">
        <f t="shared" si="159"/>
        <v>1897.12</v>
      </c>
      <c r="X264" s="271">
        <f t="shared" si="160"/>
        <v>52593.66</v>
      </c>
      <c r="Y264" s="272">
        <f t="shared" si="161"/>
        <v>47168.06999999999</v>
      </c>
      <c r="Z264" s="578">
        <f t="shared" si="162"/>
        <v>45445.829999999994</v>
      </c>
      <c r="AB264" s="8">
        <f t="shared" si="151"/>
        <v>157678.45</v>
      </c>
      <c r="AC264" s="8">
        <f t="shared" si="152"/>
        <v>152358.28999999998</v>
      </c>
      <c r="AD264" s="41"/>
      <c r="AE264" s="11"/>
    </row>
    <row r="265" spans="1:31" ht="18.75">
      <c r="A265" s="431" t="s">
        <v>13</v>
      </c>
      <c r="B265" s="74">
        <f t="shared" si="147"/>
        <v>55202.80000000003</v>
      </c>
      <c r="C265" s="74">
        <v>29655.43</v>
      </c>
      <c r="D265" s="74">
        <v>29503.77</v>
      </c>
      <c r="E265" s="74"/>
      <c r="F265" s="74">
        <f t="shared" si="153"/>
        <v>55354.460000000036</v>
      </c>
      <c r="G265" s="258">
        <f t="shared" si="148"/>
        <v>3621.619999999998</v>
      </c>
      <c r="H265" s="1076">
        <v>196.74</v>
      </c>
      <c r="I265" s="260"/>
      <c r="J265" s="258">
        <f t="shared" si="154"/>
        <v>3818.359999999998</v>
      </c>
      <c r="K265" s="78">
        <f t="shared" si="149"/>
        <v>-1562.25</v>
      </c>
      <c r="L265" s="1352">
        <v>727.77</v>
      </c>
      <c r="M265" s="683"/>
      <c r="N265" s="108">
        <f t="shared" si="155"/>
        <v>-834.48</v>
      </c>
      <c r="O265" s="261">
        <f t="shared" si="150"/>
        <v>61.29000000000006</v>
      </c>
      <c r="P265" s="263">
        <v>103.22</v>
      </c>
      <c r="Q265" s="263"/>
      <c r="R265" s="263">
        <v>104.95</v>
      </c>
      <c r="S265" s="263">
        <f t="shared" si="156"/>
        <v>59.560000000000045</v>
      </c>
      <c r="T265" s="588">
        <f t="shared" si="157"/>
        <v>104.95</v>
      </c>
      <c r="U265" s="588">
        <f t="shared" si="158"/>
        <v>0</v>
      </c>
      <c r="V265" s="589">
        <f t="shared" si="163"/>
        <v>0</v>
      </c>
      <c r="W265" s="590">
        <f t="shared" si="159"/>
        <v>104.95</v>
      </c>
      <c r="X265" s="271">
        <f t="shared" si="160"/>
        <v>30683.160000000003</v>
      </c>
      <c r="Y265" s="272">
        <f t="shared" si="161"/>
        <v>29608.72</v>
      </c>
      <c r="Z265" s="578">
        <f t="shared" si="162"/>
        <v>29608.72</v>
      </c>
      <c r="AB265" s="8">
        <f t="shared" si="151"/>
        <v>91976.56000000001</v>
      </c>
      <c r="AC265" s="8">
        <f t="shared" si="152"/>
        <v>93082.82</v>
      </c>
      <c r="AD265" s="41"/>
      <c r="AE265" s="11"/>
    </row>
    <row r="266" spans="1:31" ht="18.75">
      <c r="A266" s="431" t="s">
        <v>14</v>
      </c>
      <c r="B266" s="74">
        <f t="shared" si="147"/>
        <v>65900.82000000008</v>
      </c>
      <c r="C266" s="74">
        <v>36574.19</v>
      </c>
      <c r="D266" s="74">
        <v>39377.48</v>
      </c>
      <c r="E266" s="74"/>
      <c r="F266" s="74">
        <f t="shared" si="153"/>
        <v>63097.53000000008</v>
      </c>
      <c r="G266" s="258">
        <f t="shared" si="148"/>
        <v>3451.66</v>
      </c>
      <c r="H266" s="1076"/>
      <c r="I266" s="260"/>
      <c r="J266" s="258">
        <f t="shared" si="154"/>
        <v>3451.66</v>
      </c>
      <c r="K266" s="78">
        <f t="shared" si="149"/>
        <v>4411.66</v>
      </c>
      <c r="L266" s="1352">
        <v>2926</v>
      </c>
      <c r="M266" s="683">
        <v>2165.95</v>
      </c>
      <c r="N266" s="108">
        <f t="shared" si="155"/>
        <v>5171.71</v>
      </c>
      <c r="O266" s="261">
        <f t="shared" si="150"/>
        <v>-213.72000000000003</v>
      </c>
      <c r="P266" s="263">
        <v>82.93</v>
      </c>
      <c r="Q266" s="263"/>
      <c r="R266" s="263">
        <v>82.93</v>
      </c>
      <c r="S266" s="263">
        <f t="shared" si="156"/>
        <v>-213.72000000000003</v>
      </c>
      <c r="T266" s="588">
        <f t="shared" si="157"/>
        <v>82.93</v>
      </c>
      <c r="U266" s="588">
        <f t="shared" si="158"/>
        <v>2165.95</v>
      </c>
      <c r="V266" s="589">
        <f t="shared" si="163"/>
        <v>0</v>
      </c>
      <c r="W266" s="590">
        <f t="shared" si="159"/>
        <v>2248.8799999999997</v>
      </c>
      <c r="X266" s="271">
        <f t="shared" si="160"/>
        <v>39583.12</v>
      </c>
      <c r="Y266" s="272">
        <f t="shared" si="161"/>
        <v>41626.36</v>
      </c>
      <c r="Z266" s="578">
        <f t="shared" si="162"/>
        <v>39460.41</v>
      </c>
      <c r="AB266" s="8">
        <f t="shared" si="151"/>
        <v>118599.91</v>
      </c>
      <c r="AC266" s="8">
        <f t="shared" si="152"/>
        <v>117801.56000000003</v>
      </c>
      <c r="AD266" s="41"/>
      <c r="AE266" s="11"/>
    </row>
    <row r="267" spans="1:31" ht="18.75">
      <c r="A267" s="431" t="s">
        <v>55</v>
      </c>
      <c r="B267" s="74">
        <f t="shared" si="147"/>
        <v>38654.540000000015</v>
      </c>
      <c r="C267" s="74">
        <v>16275.19</v>
      </c>
      <c r="D267" s="74">
        <v>21527.74</v>
      </c>
      <c r="E267" s="74"/>
      <c r="F267" s="74">
        <f t="shared" si="153"/>
        <v>33401.99000000002</v>
      </c>
      <c r="G267" s="258">
        <f t="shared" si="148"/>
        <v>3667.300000000001</v>
      </c>
      <c r="H267" s="1076">
        <v>209.3</v>
      </c>
      <c r="I267" s="260"/>
      <c r="J267" s="258">
        <f t="shared" si="154"/>
        <v>3876.6000000000013</v>
      </c>
      <c r="K267" s="78">
        <f t="shared" si="149"/>
        <v>2614.920000000003</v>
      </c>
      <c r="L267" s="1352">
        <v>773.21</v>
      </c>
      <c r="M267" s="1414">
        <v>705.64</v>
      </c>
      <c r="N267" s="108">
        <f t="shared" si="155"/>
        <v>2682.490000000003</v>
      </c>
      <c r="O267" s="261">
        <f t="shared" si="150"/>
        <v>-763.87</v>
      </c>
      <c r="P267" s="263">
        <v>44.41</v>
      </c>
      <c r="Q267" s="263"/>
      <c r="R267" s="263">
        <v>37.12</v>
      </c>
      <c r="S267" s="263">
        <f t="shared" si="156"/>
        <v>-756.58</v>
      </c>
      <c r="T267" s="588">
        <f t="shared" si="157"/>
        <v>37.12</v>
      </c>
      <c r="U267" s="588">
        <f t="shared" si="158"/>
        <v>705.64</v>
      </c>
      <c r="V267" s="589">
        <f t="shared" si="163"/>
        <v>0</v>
      </c>
      <c r="W267" s="590">
        <f t="shared" si="159"/>
        <v>742.76</v>
      </c>
      <c r="X267" s="271">
        <f t="shared" si="160"/>
        <v>17302.11</v>
      </c>
      <c r="Y267" s="272">
        <f t="shared" si="161"/>
        <v>22270.5</v>
      </c>
      <c r="Z267" s="578">
        <f t="shared" si="162"/>
        <v>21564.86</v>
      </c>
      <c r="AB267" s="8">
        <f t="shared" si="151"/>
        <v>51855.43</v>
      </c>
      <c r="AC267" s="8">
        <f t="shared" si="152"/>
        <v>56663.52999999999</v>
      </c>
      <c r="AD267" s="41"/>
      <c r="AE267" s="11"/>
    </row>
    <row r="268" spans="1:31" ht="18.75">
      <c r="A268" s="431" t="s">
        <v>15</v>
      </c>
      <c r="B268" s="74">
        <f t="shared" si="147"/>
        <v>118553.84000000032</v>
      </c>
      <c r="C268" s="74">
        <v>39158.9</v>
      </c>
      <c r="D268" s="74">
        <v>35652.09</v>
      </c>
      <c r="E268" s="74"/>
      <c r="F268" s="74">
        <f t="shared" si="153"/>
        <v>122060.65000000031</v>
      </c>
      <c r="G268" s="258">
        <f t="shared" si="148"/>
        <v>0</v>
      </c>
      <c r="H268" s="1076"/>
      <c r="I268" s="260"/>
      <c r="J268" s="258">
        <f t="shared" si="154"/>
        <v>0</v>
      </c>
      <c r="K268" s="78">
        <f t="shared" si="149"/>
        <v>6947.450000000001</v>
      </c>
      <c r="L268" s="1352">
        <v>2209.01</v>
      </c>
      <c r="M268" s="683"/>
      <c r="N268" s="108">
        <f t="shared" si="155"/>
        <v>9156.460000000001</v>
      </c>
      <c r="O268" s="261">
        <f t="shared" si="150"/>
        <v>462.7299999999997</v>
      </c>
      <c r="P268" s="263">
        <v>39.25</v>
      </c>
      <c r="Q268" s="263"/>
      <c r="R268" s="263">
        <v>41.61</v>
      </c>
      <c r="S268" s="263">
        <f t="shared" si="156"/>
        <v>460.36999999999966</v>
      </c>
      <c r="T268" s="588">
        <f t="shared" si="157"/>
        <v>41.61</v>
      </c>
      <c r="U268" s="588">
        <f t="shared" si="158"/>
        <v>0</v>
      </c>
      <c r="V268" s="589">
        <f t="shared" si="163"/>
        <v>0</v>
      </c>
      <c r="W268" s="590">
        <f t="shared" si="159"/>
        <v>41.61</v>
      </c>
      <c r="X268" s="271">
        <f t="shared" si="160"/>
        <v>41407.16</v>
      </c>
      <c r="Y268" s="272">
        <f t="shared" si="161"/>
        <v>35693.7</v>
      </c>
      <c r="Z268" s="578">
        <f t="shared" si="162"/>
        <v>35693.7</v>
      </c>
      <c r="AB268" s="8">
        <f t="shared" si="151"/>
        <v>124215.97000000002</v>
      </c>
      <c r="AC268" s="8">
        <f t="shared" si="152"/>
        <v>113880.38</v>
      </c>
      <c r="AD268" s="41"/>
      <c r="AE268" s="11"/>
    </row>
    <row r="269" spans="1:31" ht="18.75">
      <c r="A269" s="431" t="s">
        <v>16</v>
      </c>
      <c r="B269" s="74">
        <f t="shared" si="147"/>
        <v>38455.04000000008</v>
      </c>
      <c r="C269" s="74">
        <v>31868.05</v>
      </c>
      <c r="D269" s="74">
        <v>32299.82</v>
      </c>
      <c r="E269" s="74"/>
      <c r="F269" s="74">
        <f t="shared" si="153"/>
        <v>38023.270000000084</v>
      </c>
      <c r="G269" s="258">
        <f t="shared" si="148"/>
        <v>0</v>
      </c>
      <c r="H269" s="1076"/>
      <c r="I269" s="260"/>
      <c r="J269" s="258">
        <f t="shared" si="154"/>
        <v>0</v>
      </c>
      <c r="K269" s="78">
        <f t="shared" si="149"/>
        <v>1492.180000000002</v>
      </c>
      <c r="L269" s="1352">
        <v>328.3</v>
      </c>
      <c r="M269" s="683"/>
      <c r="N269" s="108">
        <f t="shared" si="155"/>
        <v>1820.480000000002</v>
      </c>
      <c r="O269" s="261">
        <f t="shared" si="150"/>
        <v>26.25</v>
      </c>
      <c r="P269" s="263">
        <v>14.25</v>
      </c>
      <c r="Q269" s="263"/>
      <c r="R269" s="263">
        <v>14.25</v>
      </c>
      <c r="S269" s="263">
        <f t="shared" si="156"/>
        <v>26.25</v>
      </c>
      <c r="T269" s="588">
        <f t="shared" si="157"/>
        <v>14.25</v>
      </c>
      <c r="U269" s="588">
        <f t="shared" si="158"/>
        <v>0</v>
      </c>
      <c r="V269" s="589">
        <f t="shared" si="163"/>
        <v>0</v>
      </c>
      <c r="W269" s="590">
        <f t="shared" si="159"/>
        <v>14.25</v>
      </c>
      <c r="X269" s="271">
        <f t="shared" si="160"/>
        <v>32210.6</v>
      </c>
      <c r="Y269" s="272">
        <f t="shared" si="161"/>
        <v>32314.07</v>
      </c>
      <c r="Z269" s="578">
        <f t="shared" si="162"/>
        <v>32314.07</v>
      </c>
      <c r="AB269" s="8">
        <f t="shared" si="151"/>
        <v>96814.35</v>
      </c>
      <c r="AC269" s="8">
        <f t="shared" si="152"/>
        <v>95773.78</v>
      </c>
      <c r="AD269" s="41"/>
      <c r="AE269" s="11"/>
    </row>
    <row r="270" spans="1:31" ht="18.75">
      <c r="A270" s="431" t="s">
        <v>17</v>
      </c>
      <c r="B270" s="74">
        <f t="shared" si="147"/>
        <v>61209.53000000032</v>
      </c>
      <c r="C270" s="74">
        <v>41492.76</v>
      </c>
      <c r="D270" s="74">
        <v>48562.09</v>
      </c>
      <c r="E270" s="74"/>
      <c r="F270" s="74">
        <f t="shared" si="153"/>
        <v>54140.20000000033</v>
      </c>
      <c r="G270" s="258">
        <f t="shared" si="148"/>
        <v>7282.209999999999</v>
      </c>
      <c r="H270" s="1076">
        <v>415.61</v>
      </c>
      <c r="I270" s="260"/>
      <c r="J270" s="258">
        <f t="shared" si="154"/>
        <v>7697.819999999999</v>
      </c>
      <c r="K270" s="78">
        <f t="shared" si="149"/>
        <v>1318.6299999999997</v>
      </c>
      <c r="L270" s="1352">
        <v>699.06</v>
      </c>
      <c r="M270" s="683">
        <v>699.06</v>
      </c>
      <c r="N270" s="108">
        <f t="shared" si="155"/>
        <v>1318.6299999999997</v>
      </c>
      <c r="O270" s="261">
        <f t="shared" si="150"/>
        <v>81.11000000000001</v>
      </c>
      <c r="P270" s="263">
        <v>79.01</v>
      </c>
      <c r="Q270" s="263"/>
      <c r="R270" s="263">
        <v>79.76</v>
      </c>
      <c r="S270" s="263">
        <f t="shared" si="156"/>
        <v>80.36</v>
      </c>
      <c r="T270" s="588">
        <f t="shared" si="157"/>
        <v>79.76</v>
      </c>
      <c r="U270" s="588">
        <f t="shared" si="158"/>
        <v>699.06</v>
      </c>
      <c r="V270" s="589">
        <f t="shared" si="163"/>
        <v>0</v>
      </c>
      <c r="W270" s="590">
        <f t="shared" si="159"/>
        <v>778.8199999999999</v>
      </c>
      <c r="X270" s="271">
        <f t="shared" si="160"/>
        <v>42686.44</v>
      </c>
      <c r="Y270" s="272">
        <f t="shared" si="161"/>
        <v>49340.909999999996</v>
      </c>
      <c r="Z270" s="578">
        <f t="shared" si="162"/>
        <v>48641.85</v>
      </c>
      <c r="AB270" s="8">
        <f t="shared" si="151"/>
        <v>127989.47</v>
      </c>
      <c r="AC270" s="8">
        <f t="shared" si="152"/>
        <v>135972.65</v>
      </c>
      <c r="AD270" s="41"/>
      <c r="AE270" s="11"/>
    </row>
    <row r="271" spans="1:31" ht="18.75">
      <c r="A271" s="431" t="s">
        <v>18</v>
      </c>
      <c r="B271" s="74">
        <f t="shared" si="147"/>
        <v>165027.25</v>
      </c>
      <c r="C271" s="74">
        <v>88452</v>
      </c>
      <c r="D271" s="74">
        <v>84558.57</v>
      </c>
      <c r="E271" s="74"/>
      <c r="F271" s="74">
        <f t="shared" si="153"/>
        <v>168920.68</v>
      </c>
      <c r="G271" s="258">
        <f t="shared" si="148"/>
        <v>492.3699999999986</v>
      </c>
      <c r="H271" s="1076"/>
      <c r="I271" s="260"/>
      <c r="J271" s="258">
        <f t="shared" si="154"/>
        <v>492.3699999999986</v>
      </c>
      <c r="K271" s="78">
        <f t="shared" si="149"/>
        <v>5089.119999999999</v>
      </c>
      <c r="L271" s="1352">
        <v>2704.76</v>
      </c>
      <c r="M271" s="683">
        <v>2466.16</v>
      </c>
      <c r="N271" s="108">
        <f t="shared" si="155"/>
        <v>5327.719999999999</v>
      </c>
      <c r="O271" s="261">
        <f t="shared" si="150"/>
        <v>698.63</v>
      </c>
      <c r="P271" s="263">
        <v>239.22</v>
      </c>
      <c r="Q271" s="263"/>
      <c r="R271" s="263">
        <v>116.67</v>
      </c>
      <c r="S271" s="263">
        <f t="shared" si="156"/>
        <v>821.1800000000001</v>
      </c>
      <c r="T271" s="588">
        <f t="shared" si="157"/>
        <v>116.67</v>
      </c>
      <c r="U271" s="588">
        <f t="shared" si="158"/>
        <v>2466.16</v>
      </c>
      <c r="V271" s="589">
        <f t="shared" si="163"/>
        <v>0</v>
      </c>
      <c r="W271" s="590">
        <f t="shared" si="159"/>
        <v>2582.83</v>
      </c>
      <c r="X271" s="271">
        <f t="shared" si="160"/>
        <v>91395.98</v>
      </c>
      <c r="Y271" s="272">
        <f t="shared" si="161"/>
        <v>87141.40000000001</v>
      </c>
      <c r="Z271" s="578">
        <f t="shared" si="162"/>
        <v>84675.24</v>
      </c>
      <c r="AB271" s="8">
        <f t="shared" si="151"/>
        <v>273963.76999999996</v>
      </c>
      <c r="AC271" s="8">
        <f t="shared" si="152"/>
        <v>267356.25</v>
      </c>
      <c r="AD271" s="41"/>
      <c r="AE271" s="11"/>
    </row>
    <row r="272" spans="1:31" ht="18.75">
      <c r="A272" s="431" t="s">
        <v>54</v>
      </c>
      <c r="B272" s="74">
        <f t="shared" si="147"/>
        <v>58403.84000000037</v>
      </c>
      <c r="C272" s="74">
        <v>37931.1</v>
      </c>
      <c r="D272" s="74">
        <v>38573.5</v>
      </c>
      <c r="E272" s="74"/>
      <c r="F272" s="74">
        <f t="shared" si="153"/>
        <v>57761.440000000366</v>
      </c>
      <c r="G272" s="258">
        <f t="shared" si="148"/>
        <v>5897.860000000002</v>
      </c>
      <c r="H272" s="1076">
        <v>295.41</v>
      </c>
      <c r="I272" s="260"/>
      <c r="J272" s="258">
        <f t="shared" si="154"/>
        <v>6193.270000000002</v>
      </c>
      <c r="K272" s="78">
        <f t="shared" si="149"/>
        <v>0</v>
      </c>
      <c r="L272" s="1406"/>
      <c r="M272" s="1414"/>
      <c r="N272" s="108">
        <f t="shared" si="155"/>
        <v>0</v>
      </c>
      <c r="O272" s="261">
        <f t="shared" si="150"/>
        <v>-1114.54</v>
      </c>
      <c r="P272" s="263">
        <v>5.54</v>
      </c>
      <c r="Q272" s="263"/>
      <c r="R272" s="263">
        <v>5.82</v>
      </c>
      <c r="S272" s="263">
        <f t="shared" si="156"/>
        <v>-1114.82</v>
      </c>
      <c r="T272" s="588">
        <f t="shared" si="157"/>
        <v>5.82</v>
      </c>
      <c r="U272" s="588">
        <f t="shared" si="158"/>
        <v>0</v>
      </c>
      <c r="V272" s="589">
        <f t="shared" si="163"/>
        <v>0</v>
      </c>
      <c r="W272" s="590">
        <f t="shared" si="159"/>
        <v>5.82</v>
      </c>
      <c r="X272" s="271">
        <f t="shared" si="160"/>
        <v>38232.05</v>
      </c>
      <c r="Y272" s="272">
        <f t="shared" si="161"/>
        <v>38579.32</v>
      </c>
      <c r="Z272" s="578">
        <f t="shared" si="162"/>
        <v>38579.32</v>
      </c>
      <c r="AB272" s="8">
        <f t="shared" si="151"/>
        <v>114709.14</v>
      </c>
      <c r="AC272" s="8">
        <f t="shared" si="152"/>
        <v>114769.13</v>
      </c>
      <c r="AD272" s="41"/>
      <c r="AE272" s="11"/>
    </row>
    <row r="273" spans="1:31" ht="18.75">
      <c r="A273" s="431" t="s">
        <v>49</v>
      </c>
      <c r="B273" s="74">
        <f t="shared" si="147"/>
        <v>211322.6500000002</v>
      </c>
      <c r="C273" s="74">
        <v>80665.15</v>
      </c>
      <c r="D273" s="74">
        <v>80551.97</v>
      </c>
      <c r="E273" s="74"/>
      <c r="F273" s="74">
        <f t="shared" si="153"/>
        <v>211435.83000000016</v>
      </c>
      <c r="G273" s="258">
        <f t="shared" si="148"/>
        <v>16157.100000000006</v>
      </c>
      <c r="H273" s="1076">
        <v>922.12</v>
      </c>
      <c r="I273" s="260"/>
      <c r="J273" s="258">
        <f t="shared" si="154"/>
        <v>17079.220000000005</v>
      </c>
      <c r="K273" s="78">
        <f t="shared" si="149"/>
        <v>5723.020000000002</v>
      </c>
      <c r="L273" s="1352">
        <v>3411.59</v>
      </c>
      <c r="M273" s="683">
        <v>2394.99</v>
      </c>
      <c r="N273" s="108">
        <f t="shared" si="155"/>
        <v>6739.620000000003</v>
      </c>
      <c r="O273" s="261">
        <f t="shared" si="150"/>
        <v>-805.3100000000001</v>
      </c>
      <c r="P273" s="263">
        <v>456.77</v>
      </c>
      <c r="Q273" s="263"/>
      <c r="R273" s="263">
        <v>455.56</v>
      </c>
      <c r="S273" s="263">
        <f t="shared" si="156"/>
        <v>-804.1000000000001</v>
      </c>
      <c r="T273" s="588">
        <f t="shared" si="157"/>
        <v>455.56</v>
      </c>
      <c r="U273" s="588">
        <f t="shared" si="158"/>
        <v>2394.99</v>
      </c>
      <c r="V273" s="589">
        <f t="shared" si="163"/>
        <v>0</v>
      </c>
      <c r="W273" s="590">
        <f t="shared" si="159"/>
        <v>2850.5499999999997</v>
      </c>
      <c r="X273" s="271">
        <f t="shared" si="160"/>
        <v>85455.62999999999</v>
      </c>
      <c r="Y273" s="272">
        <f t="shared" si="161"/>
        <v>83402.52</v>
      </c>
      <c r="Z273" s="578">
        <f t="shared" si="162"/>
        <v>81007.53</v>
      </c>
      <c r="AB273" s="8">
        <f t="shared" si="151"/>
        <v>256307.02000000002</v>
      </c>
      <c r="AC273" s="8">
        <f t="shared" si="152"/>
        <v>255682.11000000002</v>
      </c>
      <c r="AD273" s="41"/>
      <c r="AE273" s="11"/>
    </row>
    <row r="274" spans="1:31" ht="27" customHeight="1">
      <c r="A274" s="431" t="s">
        <v>19</v>
      </c>
      <c r="B274" s="74">
        <f t="shared" si="147"/>
        <v>98779.68999999994</v>
      </c>
      <c r="C274" s="74">
        <v>59520.68</v>
      </c>
      <c r="D274" s="74">
        <v>58730.46</v>
      </c>
      <c r="E274" s="74"/>
      <c r="F274" s="74">
        <f t="shared" si="153"/>
        <v>99569.90999999995</v>
      </c>
      <c r="G274" s="258">
        <f t="shared" si="148"/>
        <v>7457.239999999997</v>
      </c>
      <c r="H274" s="1076">
        <v>402.45</v>
      </c>
      <c r="I274" s="260"/>
      <c r="J274" s="258">
        <f t="shared" si="154"/>
        <v>7859.689999999997</v>
      </c>
      <c r="K274" s="78">
        <f t="shared" si="149"/>
        <v>1878.6800000000012</v>
      </c>
      <c r="L274" s="1352">
        <v>1175.67</v>
      </c>
      <c r="M274" s="683">
        <v>1859.79</v>
      </c>
      <c r="N274" s="108">
        <f t="shared" si="155"/>
        <v>1194.5600000000013</v>
      </c>
      <c r="O274" s="261">
        <f t="shared" si="150"/>
        <v>-134.25999999999962</v>
      </c>
      <c r="P274" s="263">
        <v>81.44</v>
      </c>
      <c r="Q274" s="263"/>
      <c r="R274" s="263">
        <v>51.99</v>
      </c>
      <c r="S274" s="263">
        <f t="shared" si="156"/>
        <v>-104.80999999999963</v>
      </c>
      <c r="T274" s="588">
        <f t="shared" si="157"/>
        <v>51.99</v>
      </c>
      <c r="U274" s="588">
        <f t="shared" si="158"/>
        <v>1859.79</v>
      </c>
      <c r="V274" s="589">
        <f t="shared" si="163"/>
        <v>0</v>
      </c>
      <c r="W274" s="590">
        <f t="shared" si="159"/>
        <v>1911.78</v>
      </c>
      <c r="X274" s="271">
        <f t="shared" si="160"/>
        <v>61180.24</v>
      </c>
      <c r="Y274" s="272">
        <f t="shared" si="161"/>
        <v>60642.24</v>
      </c>
      <c r="Z274" s="578">
        <f t="shared" si="162"/>
        <v>58782.45</v>
      </c>
      <c r="AB274" s="8">
        <f t="shared" si="151"/>
        <v>183460.68999999997</v>
      </c>
      <c r="AC274" s="8">
        <f t="shared" si="152"/>
        <v>179380.34999999998</v>
      </c>
      <c r="AD274" s="41"/>
      <c r="AE274" s="11"/>
    </row>
    <row r="275" spans="1:31" ht="18.75">
      <c r="A275" s="449" t="s">
        <v>20</v>
      </c>
      <c r="B275" s="131">
        <f t="shared" si="147"/>
        <v>69217.9000000001</v>
      </c>
      <c r="C275" s="131">
        <v>38671.41</v>
      </c>
      <c r="D275" s="131">
        <v>37385.8</v>
      </c>
      <c r="E275" s="131"/>
      <c r="F275" s="131">
        <f t="shared" si="153"/>
        <v>70503.5100000001</v>
      </c>
      <c r="G275" s="259">
        <f t="shared" si="148"/>
        <v>0</v>
      </c>
      <c r="H275" s="1326"/>
      <c r="I275" s="260"/>
      <c r="J275" s="258">
        <f t="shared" si="154"/>
        <v>0</v>
      </c>
      <c r="K275" s="78">
        <f t="shared" si="149"/>
        <v>1788.269999999999</v>
      </c>
      <c r="L275" s="1353">
        <v>777.4</v>
      </c>
      <c r="M275" s="1415">
        <v>777.4</v>
      </c>
      <c r="N275" s="108">
        <f t="shared" si="155"/>
        <v>1788.269999999999</v>
      </c>
      <c r="O275" s="261">
        <f t="shared" si="150"/>
        <v>112.25999999999995</v>
      </c>
      <c r="P275" s="264">
        <v>30.15</v>
      </c>
      <c r="Q275" s="264"/>
      <c r="R275" s="264">
        <v>30.49</v>
      </c>
      <c r="S275" s="263">
        <f t="shared" si="156"/>
        <v>111.91999999999994</v>
      </c>
      <c r="T275" s="591">
        <f t="shared" si="157"/>
        <v>30.49</v>
      </c>
      <c r="U275" s="591">
        <f t="shared" si="158"/>
        <v>777.4</v>
      </c>
      <c r="V275" s="592">
        <f t="shared" si="163"/>
        <v>0</v>
      </c>
      <c r="W275" s="590">
        <f t="shared" si="159"/>
        <v>807.89</v>
      </c>
      <c r="X275" s="271">
        <f t="shared" si="160"/>
        <v>39478.96000000001</v>
      </c>
      <c r="Y275" s="272">
        <f t="shared" si="161"/>
        <v>38193.69</v>
      </c>
      <c r="Z275" s="578">
        <f t="shared" si="162"/>
        <v>37416.29</v>
      </c>
      <c r="AB275" s="8">
        <f t="shared" si="151"/>
        <v>118502.58000000002</v>
      </c>
      <c r="AC275" s="8">
        <f t="shared" si="152"/>
        <v>119215.23999999999</v>
      </c>
      <c r="AD275" s="41"/>
      <c r="AE275" s="11"/>
    </row>
    <row r="276" spans="1:31" ht="27" customHeight="1">
      <c r="A276" s="449" t="s">
        <v>114</v>
      </c>
      <c r="B276" s="131">
        <f t="shared" si="147"/>
        <v>-442732.72000000044</v>
      </c>
      <c r="C276" s="131">
        <v>47606.78</v>
      </c>
      <c r="D276" s="131">
        <v>49991.38</v>
      </c>
      <c r="E276" s="131"/>
      <c r="F276" s="131">
        <f t="shared" si="153"/>
        <v>-445117.3200000004</v>
      </c>
      <c r="G276" s="259">
        <f t="shared" si="148"/>
        <v>1819.14</v>
      </c>
      <c r="H276" s="1076">
        <v>303.19</v>
      </c>
      <c r="I276" s="260"/>
      <c r="J276" s="258">
        <f t="shared" si="154"/>
        <v>2122.33</v>
      </c>
      <c r="K276" s="78">
        <f t="shared" si="149"/>
        <v>-789.96</v>
      </c>
      <c r="L276" s="1352">
        <v>789.96</v>
      </c>
      <c r="M276" s="1415"/>
      <c r="N276" s="108">
        <f t="shared" si="155"/>
        <v>0</v>
      </c>
      <c r="O276" s="261">
        <f t="shared" si="150"/>
        <v>-51.70000000000001</v>
      </c>
      <c r="P276" s="264">
        <v>35.83</v>
      </c>
      <c r="Q276" s="264"/>
      <c r="R276" s="264">
        <v>27.27</v>
      </c>
      <c r="S276" s="263">
        <f t="shared" si="156"/>
        <v>-43.140000000000015</v>
      </c>
      <c r="T276" s="591">
        <f t="shared" si="157"/>
        <v>27.27</v>
      </c>
      <c r="U276" s="591">
        <f t="shared" si="158"/>
        <v>0</v>
      </c>
      <c r="V276" s="592">
        <f t="shared" si="163"/>
        <v>0</v>
      </c>
      <c r="W276" s="590">
        <f t="shared" si="159"/>
        <v>27.27</v>
      </c>
      <c r="X276" s="271">
        <f t="shared" si="160"/>
        <v>48735.76</v>
      </c>
      <c r="Y276" s="272">
        <f t="shared" si="161"/>
        <v>50018.649999999994</v>
      </c>
      <c r="Z276" s="578">
        <f t="shared" si="162"/>
        <v>50018.649999999994</v>
      </c>
      <c r="AB276" s="8">
        <f t="shared" si="151"/>
        <v>146226.42</v>
      </c>
      <c r="AC276" s="8">
        <f t="shared" si="152"/>
        <v>156515.16</v>
      </c>
      <c r="AD276" s="41"/>
      <c r="AE276" s="11"/>
    </row>
    <row r="277" spans="1:30" ht="18.75">
      <c r="A277" s="449" t="s">
        <v>124</v>
      </c>
      <c r="B277" s="131">
        <f aca="true" t="shared" si="164" ref="B277:B283">F245</f>
        <v>19918.97999999993</v>
      </c>
      <c r="C277" s="131">
        <v>16815.18</v>
      </c>
      <c r="D277" s="131">
        <v>15117.26</v>
      </c>
      <c r="E277" s="131"/>
      <c r="F277" s="131">
        <f t="shared" si="153"/>
        <v>21616.89999999993</v>
      </c>
      <c r="G277" s="259">
        <f t="shared" si="148"/>
        <v>0</v>
      </c>
      <c r="H277" s="1395"/>
      <c r="I277" s="260"/>
      <c r="J277" s="258">
        <f t="shared" si="154"/>
        <v>0</v>
      </c>
      <c r="K277" s="78">
        <f t="shared" si="149"/>
        <v>0</v>
      </c>
      <c r="L277" s="1407"/>
      <c r="M277" s="1390"/>
      <c r="N277" s="108">
        <f t="shared" si="155"/>
        <v>0</v>
      </c>
      <c r="O277" s="261">
        <f t="shared" si="150"/>
        <v>-9.360000000000007</v>
      </c>
      <c r="P277" s="264">
        <v>3.24</v>
      </c>
      <c r="Q277" s="264"/>
      <c r="R277" s="264">
        <v>3.24</v>
      </c>
      <c r="S277" s="263">
        <f t="shared" si="156"/>
        <v>-9.360000000000007</v>
      </c>
      <c r="T277" s="591">
        <f t="shared" si="157"/>
        <v>3.24</v>
      </c>
      <c r="U277" s="591">
        <f t="shared" si="158"/>
        <v>0</v>
      </c>
      <c r="V277" s="592">
        <f t="shared" si="163"/>
        <v>0</v>
      </c>
      <c r="W277" s="590">
        <f t="shared" si="159"/>
        <v>3.24</v>
      </c>
      <c r="X277" s="271">
        <f t="shared" si="160"/>
        <v>16818.420000000002</v>
      </c>
      <c r="Y277" s="272">
        <f t="shared" si="161"/>
        <v>15120.5</v>
      </c>
      <c r="Z277" s="578">
        <f t="shared" si="162"/>
        <v>15120.5</v>
      </c>
      <c r="AB277" s="8">
        <f t="shared" si="151"/>
        <v>50472.11</v>
      </c>
      <c r="AC277" s="8">
        <f t="shared" si="152"/>
        <v>51597.53</v>
      </c>
      <c r="AD277" s="41"/>
    </row>
    <row r="278" spans="1:32" ht="18.75">
      <c r="A278" s="708" t="s">
        <v>188</v>
      </c>
      <c r="B278" s="428">
        <f t="shared" si="164"/>
        <v>21943.519999999953</v>
      </c>
      <c r="C278" s="702">
        <v>44632.29</v>
      </c>
      <c r="D278" s="702">
        <v>48235.41</v>
      </c>
      <c r="E278" s="450"/>
      <c r="F278" s="428">
        <f t="shared" si="153"/>
        <v>18340.39999999995</v>
      </c>
      <c r="G278" s="259">
        <f t="shared" si="148"/>
        <v>5005.259999999999</v>
      </c>
      <c r="H278" s="1395">
        <v>382.12</v>
      </c>
      <c r="I278" s="260"/>
      <c r="J278" s="258">
        <f t="shared" si="154"/>
        <v>5387.379999999999</v>
      </c>
      <c r="K278" s="78">
        <f t="shared" si="149"/>
        <v>-57810.66999999999</v>
      </c>
      <c r="L278" s="1354">
        <v>2463.16</v>
      </c>
      <c r="M278" s="683">
        <v>1500</v>
      </c>
      <c r="N278" s="108">
        <f t="shared" si="155"/>
        <v>-56847.509999999995</v>
      </c>
      <c r="O278" s="261">
        <f t="shared" si="150"/>
        <v>-4849.38</v>
      </c>
      <c r="P278" s="637">
        <v>74.99</v>
      </c>
      <c r="Q278" s="480"/>
      <c r="R278" s="637">
        <v>74.99</v>
      </c>
      <c r="S278" s="263">
        <f t="shared" si="156"/>
        <v>-4849.38</v>
      </c>
      <c r="T278" s="296">
        <f t="shared" si="157"/>
        <v>74.99</v>
      </c>
      <c r="U278" s="793">
        <f t="shared" si="158"/>
        <v>1500</v>
      </c>
      <c r="V278" s="592">
        <f t="shared" si="163"/>
        <v>0</v>
      </c>
      <c r="W278" s="590">
        <f t="shared" si="159"/>
        <v>1574.99</v>
      </c>
      <c r="X278" s="271">
        <f t="shared" si="160"/>
        <v>47552.560000000005</v>
      </c>
      <c r="Y278" s="272">
        <f t="shared" si="161"/>
        <v>49810.4</v>
      </c>
      <c r="Z278" s="578">
        <f t="shared" si="162"/>
        <v>48310.4</v>
      </c>
      <c r="AA278" s="724"/>
      <c r="AB278" s="8">
        <f t="shared" si="151"/>
        <v>142794.95</v>
      </c>
      <c r="AC278" s="8">
        <f t="shared" si="152"/>
        <v>197575.13</v>
      </c>
      <c r="AD278" s="738"/>
      <c r="AE278" s="726"/>
      <c r="AF278" s="11"/>
    </row>
    <row r="279" spans="1:32" ht="18.75">
      <c r="A279" s="709" t="s">
        <v>189</v>
      </c>
      <c r="B279" s="428">
        <f t="shared" si="164"/>
        <v>70941.42000000004</v>
      </c>
      <c r="C279" s="702">
        <v>51798.79</v>
      </c>
      <c r="D279" s="702">
        <v>56174.43</v>
      </c>
      <c r="E279" s="450"/>
      <c r="F279" s="428">
        <f t="shared" si="153"/>
        <v>66565.78000000006</v>
      </c>
      <c r="G279" s="259">
        <f t="shared" si="148"/>
        <v>20883.56</v>
      </c>
      <c r="H279" s="1395">
        <v>2127.68</v>
      </c>
      <c r="I279" s="260"/>
      <c r="J279" s="258">
        <f t="shared" si="154"/>
        <v>23011.24</v>
      </c>
      <c r="K279" s="78">
        <f t="shared" si="149"/>
        <v>-16177.52</v>
      </c>
      <c r="L279" s="1354">
        <v>791.15</v>
      </c>
      <c r="M279" s="1392">
        <v>791.15</v>
      </c>
      <c r="N279" s="108">
        <f>K279+L279-M279</f>
        <v>-16177.52</v>
      </c>
      <c r="O279" s="261">
        <f t="shared" si="150"/>
        <v>-48749.80999999998</v>
      </c>
      <c r="P279" s="637">
        <v>398.93</v>
      </c>
      <c r="Q279" s="480"/>
      <c r="R279" s="637">
        <v>372.73</v>
      </c>
      <c r="S279" s="263">
        <f t="shared" si="156"/>
        <v>-48723.609999999986</v>
      </c>
      <c r="T279" s="296">
        <f t="shared" si="157"/>
        <v>372.73</v>
      </c>
      <c r="U279" s="793">
        <f t="shared" si="158"/>
        <v>791.15</v>
      </c>
      <c r="V279" s="592">
        <f t="shared" si="163"/>
        <v>0</v>
      </c>
      <c r="W279" s="590">
        <f t="shared" si="159"/>
        <v>1163.88</v>
      </c>
      <c r="X279" s="271">
        <f t="shared" si="160"/>
        <v>55116.55</v>
      </c>
      <c r="Y279" s="272">
        <f t="shared" si="161"/>
        <v>57338.310000000005</v>
      </c>
      <c r="Z279" s="578">
        <f t="shared" si="162"/>
        <v>56547.16</v>
      </c>
      <c r="AA279" s="724"/>
      <c r="AB279" s="8">
        <f t="shared" si="151"/>
        <v>167034.41999999998</v>
      </c>
      <c r="AC279" s="8">
        <f t="shared" si="152"/>
        <v>182990.48</v>
      </c>
      <c r="AD279" s="738"/>
      <c r="AE279" s="726"/>
      <c r="AF279" s="11"/>
    </row>
    <row r="280" spans="1:32" ht="18.75">
      <c r="A280" s="709" t="s">
        <v>251</v>
      </c>
      <c r="B280" s="428">
        <f t="shared" si="164"/>
        <v>105478.78000000003</v>
      </c>
      <c r="C280" s="702">
        <v>47756.29</v>
      </c>
      <c r="D280" s="702">
        <v>46907.64</v>
      </c>
      <c r="E280" s="450"/>
      <c r="F280" s="428">
        <f t="shared" si="153"/>
        <v>106327.43000000004</v>
      </c>
      <c r="G280" s="259">
        <f t="shared" si="148"/>
        <v>0</v>
      </c>
      <c r="H280" s="1395"/>
      <c r="I280" s="260"/>
      <c r="J280" s="258">
        <f t="shared" si="154"/>
        <v>0</v>
      </c>
      <c r="K280" s="78">
        <f t="shared" si="149"/>
        <v>-62945.81</v>
      </c>
      <c r="L280" s="1354"/>
      <c r="M280" s="1392"/>
      <c r="N280" s="108">
        <f t="shared" si="155"/>
        <v>-62945.81</v>
      </c>
      <c r="O280" s="261">
        <f t="shared" si="150"/>
        <v>-60564.920000000006</v>
      </c>
      <c r="P280" s="637">
        <v>27.29</v>
      </c>
      <c r="Q280" s="480"/>
      <c r="R280" s="637">
        <v>26.54</v>
      </c>
      <c r="S280" s="263">
        <f t="shared" si="156"/>
        <v>-60564.170000000006</v>
      </c>
      <c r="T280" s="296">
        <f t="shared" si="157"/>
        <v>26.54</v>
      </c>
      <c r="U280" s="793">
        <f t="shared" si="158"/>
        <v>0</v>
      </c>
      <c r="V280" s="592">
        <f t="shared" si="163"/>
        <v>0</v>
      </c>
      <c r="W280" s="590">
        <f t="shared" si="159"/>
        <v>26.54</v>
      </c>
      <c r="X280" s="271">
        <f t="shared" si="160"/>
        <v>47783.58</v>
      </c>
      <c r="Y280" s="272">
        <f t="shared" si="161"/>
        <v>46934.18</v>
      </c>
      <c r="Z280" s="578">
        <f t="shared" si="162"/>
        <v>46934.18</v>
      </c>
      <c r="AA280" s="724"/>
      <c r="AB280" s="8">
        <f t="shared" si="151"/>
        <v>145592.44</v>
      </c>
      <c r="AC280" s="8">
        <f t="shared" si="152"/>
        <v>145572.97</v>
      </c>
      <c r="AD280" s="738"/>
      <c r="AE280" s="726"/>
      <c r="AF280" s="11"/>
    </row>
    <row r="281" spans="1:32" ht="18.75">
      <c r="A281" s="709" t="s">
        <v>253</v>
      </c>
      <c r="B281" s="428">
        <f t="shared" si="164"/>
        <v>32563.950000000004</v>
      </c>
      <c r="C281" s="702">
        <v>17768.29</v>
      </c>
      <c r="D281" s="702">
        <v>16953.12</v>
      </c>
      <c r="E281" s="450"/>
      <c r="F281" s="428">
        <f t="shared" si="153"/>
        <v>33379.12000000001</v>
      </c>
      <c r="G281" s="259">
        <f t="shared" si="148"/>
        <v>0</v>
      </c>
      <c r="H281" s="1395"/>
      <c r="I281" s="260"/>
      <c r="J281" s="258">
        <f t="shared" si="154"/>
        <v>0</v>
      </c>
      <c r="K281" s="78">
        <f t="shared" si="149"/>
        <v>0</v>
      </c>
      <c r="L281" s="1407"/>
      <c r="M281" s="1392"/>
      <c r="N281" s="108">
        <f t="shared" si="155"/>
        <v>0</v>
      </c>
      <c r="O281" s="261">
        <f t="shared" si="150"/>
        <v>-3732.7400000000002</v>
      </c>
      <c r="P281" s="637">
        <v>58.32</v>
      </c>
      <c r="Q281" s="480"/>
      <c r="R281" s="637">
        <v>44.61</v>
      </c>
      <c r="S281" s="263">
        <f t="shared" si="156"/>
        <v>-3719.03</v>
      </c>
      <c r="T281" s="296">
        <f t="shared" si="157"/>
        <v>44.61</v>
      </c>
      <c r="U281" s="793">
        <f t="shared" si="158"/>
        <v>0</v>
      </c>
      <c r="V281" s="592">
        <f t="shared" si="163"/>
        <v>0</v>
      </c>
      <c r="W281" s="590">
        <f t="shared" si="159"/>
        <v>44.61</v>
      </c>
      <c r="X281" s="271">
        <f t="shared" si="160"/>
        <v>17826.61</v>
      </c>
      <c r="Y281" s="272">
        <f t="shared" si="161"/>
        <v>16997.73</v>
      </c>
      <c r="Z281" s="578">
        <f t="shared" si="162"/>
        <v>16997.73</v>
      </c>
      <c r="AA281" s="724"/>
      <c r="AB281" s="8">
        <f t="shared" si="151"/>
        <v>53479.28</v>
      </c>
      <c r="AC281" s="8">
        <f t="shared" si="152"/>
        <v>55831.86</v>
      </c>
      <c r="AD281" s="738"/>
      <c r="AE281" s="726"/>
      <c r="AF281" s="11"/>
    </row>
    <row r="282" spans="1:32" ht="18.75">
      <c r="A282" s="709" t="s">
        <v>303</v>
      </c>
      <c r="B282" s="428">
        <f t="shared" si="164"/>
        <v>303832.25999999983</v>
      </c>
      <c r="C282" s="702">
        <v>62547.85</v>
      </c>
      <c r="D282" s="702">
        <v>66974.93</v>
      </c>
      <c r="E282" s="450"/>
      <c r="F282" s="428">
        <f t="shared" si="153"/>
        <v>299405.1799999998</v>
      </c>
      <c r="G282" s="259">
        <f t="shared" si="148"/>
        <v>0</v>
      </c>
      <c r="H282" s="1396"/>
      <c r="I282" s="260"/>
      <c r="J282" s="258">
        <f t="shared" si="154"/>
        <v>0</v>
      </c>
      <c r="K282" s="78">
        <f t="shared" si="149"/>
        <v>0</v>
      </c>
      <c r="L282" s="1408">
        <v>1889.09</v>
      </c>
      <c r="M282" s="1392">
        <v>1889.09</v>
      </c>
      <c r="N282" s="108">
        <f t="shared" si="155"/>
        <v>0</v>
      </c>
      <c r="O282" s="261">
        <f t="shared" si="150"/>
        <v>-2343.98</v>
      </c>
      <c r="P282" s="637">
        <v>672.22</v>
      </c>
      <c r="Q282" s="480"/>
      <c r="R282" s="637">
        <f>672.94+300.18</f>
        <v>973.1200000000001</v>
      </c>
      <c r="S282" s="263">
        <f t="shared" si="156"/>
        <v>-2644.88</v>
      </c>
      <c r="T282" s="296">
        <f t="shared" si="157"/>
        <v>973.1200000000001</v>
      </c>
      <c r="U282" s="793">
        <f t="shared" si="158"/>
        <v>1889.09</v>
      </c>
      <c r="V282" s="592">
        <f t="shared" si="163"/>
        <v>0</v>
      </c>
      <c r="W282" s="590">
        <f t="shared" si="159"/>
        <v>2862.21</v>
      </c>
      <c r="X282" s="271">
        <f t="shared" si="160"/>
        <v>65109.159999999996</v>
      </c>
      <c r="Y282" s="272">
        <f t="shared" si="161"/>
        <v>69837.13999999998</v>
      </c>
      <c r="Z282" s="578">
        <f t="shared" si="162"/>
        <v>67948.04999999999</v>
      </c>
      <c r="AA282" s="724"/>
      <c r="AB282" s="8">
        <f t="shared" si="151"/>
        <v>197135.96</v>
      </c>
      <c r="AC282" s="8">
        <f t="shared" si="152"/>
        <v>274694.16000000003</v>
      </c>
      <c r="AD282" s="738"/>
      <c r="AE282" s="726"/>
      <c r="AF282" s="11"/>
    </row>
    <row r="283" spans="1:32" ht="19.5" thickBot="1">
      <c r="A283" s="708" t="s">
        <v>321</v>
      </c>
      <c r="B283" s="428">
        <f t="shared" si="164"/>
        <v>243482.30999999988</v>
      </c>
      <c r="C283" s="702">
        <v>63992.51</v>
      </c>
      <c r="D283" s="702">
        <v>67439.87</v>
      </c>
      <c r="E283" s="450"/>
      <c r="F283" s="428">
        <f t="shared" si="153"/>
        <v>240034.9499999999</v>
      </c>
      <c r="G283" s="259">
        <f t="shared" si="148"/>
        <v>0</v>
      </c>
      <c r="H283" s="1396"/>
      <c r="I283" s="260"/>
      <c r="J283" s="258">
        <f t="shared" si="154"/>
        <v>0</v>
      </c>
      <c r="K283" s="78">
        <f t="shared" si="149"/>
        <v>827.6300000000001</v>
      </c>
      <c r="L283" s="1408">
        <v>6247.31</v>
      </c>
      <c r="M283" s="1392">
        <v>5965.05</v>
      </c>
      <c r="N283" s="108">
        <f t="shared" si="155"/>
        <v>1109.8900000000003</v>
      </c>
      <c r="O283" s="261">
        <f t="shared" si="150"/>
        <v>-7026.95</v>
      </c>
      <c r="P283" s="637">
        <v>495.9</v>
      </c>
      <c r="Q283" s="480"/>
      <c r="R283" s="637">
        <f>449.13+1067.34</f>
        <v>1516.4699999999998</v>
      </c>
      <c r="S283" s="263">
        <f t="shared" si="156"/>
        <v>-8047.52</v>
      </c>
      <c r="T283" s="296">
        <f t="shared" si="157"/>
        <v>1516.4699999999998</v>
      </c>
      <c r="U283" s="793">
        <f t="shared" si="158"/>
        <v>5965.05</v>
      </c>
      <c r="V283" s="592">
        <f t="shared" si="163"/>
        <v>0</v>
      </c>
      <c r="W283" s="590">
        <f t="shared" si="159"/>
        <v>7481.52</v>
      </c>
      <c r="X283" s="271">
        <f t="shared" si="160"/>
        <v>70735.72</v>
      </c>
      <c r="Y283" s="272">
        <f t="shared" si="161"/>
        <v>74921.39</v>
      </c>
      <c r="Z283" s="578">
        <f t="shared" si="162"/>
        <v>68956.34</v>
      </c>
      <c r="AA283" s="724"/>
      <c r="AB283" s="8">
        <f t="shared" si="151"/>
        <v>214383.84</v>
      </c>
      <c r="AC283" s="8">
        <f t="shared" si="152"/>
        <v>360542.09</v>
      </c>
      <c r="AD283" s="677"/>
      <c r="AE283" s="726"/>
      <c r="AF283" s="11"/>
    </row>
    <row r="284" spans="1:29" ht="36" customHeight="1" thickBot="1">
      <c r="A284" s="1356" t="s">
        <v>127</v>
      </c>
      <c r="B284" s="1409">
        <f>SUM(B257:B283)</f>
        <v>2281605.2400000016</v>
      </c>
      <c r="C284" s="1410">
        <f>SUM(C257:C283)</f>
        <v>1072423.2700000003</v>
      </c>
      <c r="D284" s="1410">
        <f>SUM(D257:D283)</f>
        <v>1077241.5100000002</v>
      </c>
      <c r="E284" s="1357"/>
      <c r="F284" s="1409">
        <f>SUM(F257:F283)</f>
        <v>2276787.000000001</v>
      </c>
      <c r="G284" s="1409">
        <f>SUM(G257:G283)</f>
        <v>185690.09999999998</v>
      </c>
      <c r="H284" s="1410">
        <f>SUM(H257:H283)</f>
        <v>10373.919999999998</v>
      </c>
      <c r="I284" s="1410">
        <v>0</v>
      </c>
      <c r="J284" s="1409">
        <f aca="true" t="shared" si="165" ref="J284:O284">SUM(J257:J283)</f>
        <v>196064.01999999993</v>
      </c>
      <c r="K284" s="1409">
        <f t="shared" si="165"/>
        <v>-111088.20999999998</v>
      </c>
      <c r="L284" s="1411">
        <f t="shared" si="165"/>
        <v>36289.53</v>
      </c>
      <c r="M284" s="1416">
        <f t="shared" si="165"/>
        <v>28799.22</v>
      </c>
      <c r="N284" s="1409">
        <f t="shared" si="165"/>
        <v>-103597.89999999998</v>
      </c>
      <c r="O284" s="1409">
        <f t="shared" si="165"/>
        <v>-130575.13999999998</v>
      </c>
      <c r="P284" s="1410">
        <f>SUM(P257:P283)</f>
        <v>3357.39</v>
      </c>
      <c r="Q284" s="1412"/>
      <c r="R284" s="1410">
        <f>SUM(R257:R283)</f>
        <v>4590.51</v>
      </c>
      <c r="S284" s="1409">
        <f>SUM(S257:S283)</f>
        <v>-131808.25999999998</v>
      </c>
      <c r="T284" s="1363"/>
      <c r="U284" s="1363"/>
      <c r="V284" s="1363"/>
      <c r="W284" s="1363"/>
      <c r="X284" s="1384">
        <f>SUM(X257:X283)</f>
        <v>1122444.11</v>
      </c>
      <c r="Y284" s="1367">
        <f>SUM(Y257:Y283)</f>
        <v>1110631.24</v>
      </c>
      <c r="Z284" s="1413">
        <f>SUM(Z257:Z283)</f>
        <v>1081832.02</v>
      </c>
      <c r="AA284" s="704"/>
      <c r="AB284" s="732">
        <f>SUM(AB257:AB283)</f>
        <v>3373962.05</v>
      </c>
      <c r="AC284" s="745">
        <f>SUM(AC257:AC283)</f>
        <v>3643556.7199999997</v>
      </c>
    </row>
    <row r="285" spans="1:29" s="667" customFormat="1" ht="36" customHeight="1" thickBot="1">
      <c r="A285" s="940"/>
      <c r="B285" s="878"/>
      <c r="C285" s="550"/>
      <c r="D285" s="550"/>
      <c r="E285" s="550"/>
      <c r="F285" s="550"/>
      <c r="G285" s="550"/>
      <c r="H285" s="676"/>
      <c r="I285" s="676">
        <f>SUM(I257:I284)</f>
        <v>0</v>
      </c>
      <c r="J285" s="675"/>
      <c r="K285" s="550"/>
      <c r="L285" s="941"/>
      <c r="M285" s="942"/>
      <c r="N285" s="550"/>
      <c r="O285" s="550"/>
      <c r="P285" s="550"/>
      <c r="Q285" s="550"/>
      <c r="R285" s="550"/>
      <c r="S285" s="550"/>
      <c r="T285" s="550"/>
      <c r="U285" s="676"/>
      <c r="V285" s="550"/>
      <c r="W285" s="550"/>
      <c r="X285" s="550"/>
      <c r="Y285" s="550"/>
      <c r="Z285" s="678"/>
      <c r="AA285" s="877"/>
      <c r="AB285" s="943"/>
      <c r="AC285" s="944"/>
    </row>
    <row r="286" spans="1:31" ht="21.75" thickBot="1">
      <c r="A286" s="68"/>
      <c r="B286" s="69" t="s">
        <v>463</v>
      </c>
      <c r="C286" s="69"/>
      <c r="D286" s="69"/>
      <c r="E286" s="69"/>
      <c r="F286" s="68"/>
      <c r="G286" s="5"/>
      <c r="H286" s="4"/>
      <c r="I286" s="5"/>
      <c r="J286" s="5"/>
      <c r="K286" s="6"/>
      <c r="L286" s="240" t="s">
        <v>62</v>
      </c>
      <c r="O286" s="2"/>
      <c r="T286" s="240" t="s">
        <v>62</v>
      </c>
      <c r="W286" s="2"/>
      <c r="AA286" s="733"/>
      <c r="AB286" s="734"/>
      <c r="AC286" s="735"/>
      <c r="AD286" s="736"/>
      <c r="AE286" s="737"/>
    </row>
    <row r="287" spans="1:32" ht="20.25" thickBot="1">
      <c r="A287" s="408" t="s">
        <v>132</v>
      </c>
      <c r="B287" s="1670" t="s">
        <v>210</v>
      </c>
      <c r="C287" s="1585" t="s">
        <v>2</v>
      </c>
      <c r="D287" s="1586"/>
      <c r="E287" s="1586"/>
      <c r="F287" s="1591"/>
      <c r="G287" s="85" t="s">
        <v>27</v>
      </c>
      <c r="H287" s="1594" t="s">
        <v>3</v>
      </c>
      <c r="I287" s="1595"/>
      <c r="J287" s="1596"/>
      <c r="K287" s="88" t="s">
        <v>27</v>
      </c>
      <c r="L287" s="1612" t="s">
        <v>4</v>
      </c>
      <c r="M287" s="1612"/>
      <c r="N287" s="1612"/>
      <c r="O287" s="84" t="s">
        <v>27</v>
      </c>
      <c r="P287" s="1613" t="s">
        <v>23</v>
      </c>
      <c r="Q287" s="1613"/>
      <c r="R287" s="1613"/>
      <c r="S287" s="1613"/>
      <c r="T287" s="1576" t="s">
        <v>473</v>
      </c>
      <c r="U287" s="1577"/>
      <c r="V287" s="1577"/>
      <c r="W287" s="1578"/>
      <c r="X287" s="1567" t="s">
        <v>474</v>
      </c>
      <c r="Y287" s="1568"/>
      <c r="Z287" s="1569"/>
      <c r="AA287" s="746"/>
      <c r="AB287" s="620"/>
      <c r="AC287" s="624"/>
      <c r="AD287" s="278"/>
      <c r="AE287" s="579"/>
      <c r="AF287" s="275"/>
    </row>
    <row r="288" spans="1:31" ht="54.75" thickBot="1">
      <c r="A288" s="111" t="s">
        <v>1</v>
      </c>
      <c r="B288" s="1671"/>
      <c r="C288" s="81" t="s">
        <v>5</v>
      </c>
      <c r="D288" s="81" t="s">
        <v>6</v>
      </c>
      <c r="E288" s="81" t="s">
        <v>65</v>
      </c>
      <c r="F288" s="81" t="s">
        <v>211</v>
      </c>
      <c r="G288" s="86" t="s">
        <v>210</v>
      </c>
      <c r="H288" s="1201" t="s">
        <v>5</v>
      </c>
      <c r="I288" s="1201" t="s">
        <v>6</v>
      </c>
      <c r="J288" s="86" t="s">
        <v>212</v>
      </c>
      <c r="K288" s="1196" t="s">
        <v>210</v>
      </c>
      <c r="L288" s="1196" t="s">
        <v>5</v>
      </c>
      <c r="M288" s="1196" t="s">
        <v>6</v>
      </c>
      <c r="N288" s="1196" t="s">
        <v>213</v>
      </c>
      <c r="O288" s="1204" t="s">
        <v>210</v>
      </c>
      <c r="P288" s="1204" t="s">
        <v>5</v>
      </c>
      <c r="Q288" s="1204" t="s">
        <v>64</v>
      </c>
      <c r="R288" s="1204" t="s">
        <v>6</v>
      </c>
      <c r="S288" s="1204" t="s">
        <v>214</v>
      </c>
      <c r="T288" s="71" t="s">
        <v>104</v>
      </c>
      <c r="U288" s="71" t="s">
        <v>69</v>
      </c>
      <c r="V288" s="71" t="s">
        <v>95</v>
      </c>
      <c r="W288" s="71" t="s">
        <v>99</v>
      </c>
      <c r="X288" s="747" t="s">
        <v>108</v>
      </c>
      <c r="Y288" s="748" t="s">
        <v>69</v>
      </c>
      <c r="Z288" s="749" t="s">
        <v>82</v>
      </c>
      <c r="AA288" s="750" t="s">
        <v>75</v>
      </c>
      <c r="AB288" s="619" t="s">
        <v>169</v>
      </c>
      <c r="AC288" s="623" t="s">
        <v>106</v>
      </c>
      <c r="AD288" s="276" t="s">
        <v>107</v>
      </c>
      <c r="AE288" s="580" t="s">
        <v>160</v>
      </c>
    </row>
    <row r="289" spans="1:31" ht="18.75">
      <c r="A289" s="311" t="s">
        <v>47</v>
      </c>
      <c r="B289" s="74">
        <f aca="true" t="shared" si="166" ref="B289:B315">F257</f>
        <v>115546.98999999993</v>
      </c>
      <c r="C289" s="1430">
        <v>15286.47</v>
      </c>
      <c r="D289" s="246">
        <v>14372.15</v>
      </c>
      <c r="E289" s="279"/>
      <c r="F289" s="74">
        <f>B289+C289-D289</f>
        <v>116461.30999999994</v>
      </c>
      <c r="G289" s="258">
        <f aca="true" t="shared" si="167" ref="G289:G315">J257</f>
        <v>31479.589999999982</v>
      </c>
      <c r="H289" s="1393">
        <v>1219.32</v>
      </c>
      <c r="I289" s="260">
        <v>20484.5</v>
      </c>
      <c r="J289" s="258">
        <f>G289+H289-I289</f>
        <v>12214.409999999982</v>
      </c>
      <c r="K289" s="78">
        <f aca="true" t="shared" si="168" ref="K289:K315">N257</f>
        <v>-545.3099999999995</v>
      </c>
      <c r="L289" s="1406">
        <v>4819.88</v>
      </c>
      <c r="M289" s="588">
        <v>4819.88</v>
      </c>
      <c r="N289" s="108">
        <f>K289+L289-M289</f>
        <v>-545.3099999999995</v>
      </c>
      <c r="O289" s="274">
        <f aca="true" t="shared" si="169" ref="O289:O315">S257</f>
        <v>-1531.05</v>
      </c>
      <c r="P289" s="647">
        <v>56.87</v>
      </c>
      <c r="Q289" s="280"/>
      <c r="R289" s="280">
        <v>44.35</v>
      </c>
      <c r="S289" s="263">
        <f>O289+P289-R289</f>
        <v>-1518.53</v>
      </c>
      <c r="T289" s="144">
        <f>R289</f>
        <v>44.35</v>
      </c>
      <c r="U289" s="144">
        <f>M289</f>
        <v>4819.88</v>
      </c>
      <c r="V289" s="144">
        <f>I289</f>
        <v>20484.5</v>
      </c>
      <c r="W289" s="188">
        <f>T289+U289+V289</f>
        <v>25348.73</v>
      </c>
      <c r="X289" s="751">
        <f aca="true" t="shared" si="170" ref="X289:X314">T225+T257+T289</f>
        <v>171.29</v>
      </c>
      <c r="Y289" s="752">
        <f aca="true" t="shared" si="171" ref="Y289:Y315">U225+U257+U289</f>
        <v>14459.64</v>
      </c>
      <c r="Z289" s="752">
        <f aca="true" t="shared" si="172" ref="Z289:Z314">V225+V257+V289</f>
        <v>20484.5</v>
      </c>
      <c r="AA289" s="753">
        <f>X289+Y289+Z289</f>
        <v>35115.43</v>
      </c>
      <c r="AB289" s="620">
        <f>Y289+Z289</f>
        <v>34944.14</v>
      </c>
      <c r="AC289" s="624">
        <f>C289+H289+L289+P289</f>
        <v>21382.54</v>
      </c>
      <c r="AD289" s="771">
        <f>D289+I289+M289+R289</f>
        <v>39720.88</v>
      </c>
      <c r="AE289" s="649">
        <f>D289+R289</f>
        <v>14416.5</v>
      </c>
    </row>
    <row r="290" spans="1:31" ht="18.75">
      <c r="A290" s="311" t="s">
        <v>53</v>
      </c>
      <c r="B290" s="74">
        <f t="shared" si="166"/>
        <v>131451.27000000025</v>
      </c>
      <c r="C290" s="1430">
        <v>33877.29</v>
      </c>
      <c r="D290" s="246">
        <v>34900.22</v>
      </c>
      <c r="E290" s="279"/>
      <c r="F290" s="74">
        <f aca="true" t="shared" si="173" ref="F290:F315">B290+C290-D290</f>
        <v>130428.34000000026</v>
      </c>
      <c r="G290" s="258">
        <f t="shared" si="167"/>
        <v>2035.7099999999994</v>
      </c>
      <c r="H290" s="1393">
        <v>294.05</v>
      </c>
      <c r="I290" s="260">
        <v>-281.04</v>
      </c>
      <c r="J290" s="258">
        <f aca="true" t="shared" si="174" ref="J290:J316">G290+H290-I290</f>
        <v>2610.7999999999993</v>
      </c>
      <c r="K290" s="78">
        <f t="shared" si="168"/>
        <v>-3623.4</v>
      </c>
      <c r="L290" s="1406">
        <v>137.45</v>
      </c>
      <c r="M290" s="1111">
        <v>137.45</v>
      </c>
      <c r="N290" s="108">
        <f aca="true" t="shared" si="175" ref="N290:N315">K290+L290-M290</f>
        <v>-3623.4</v>
      </c>
      <c r="O290" s="274">
        <f t="shared" si="169"/>
        <v>137.26000000000005</v>
      </c>
      <c r="P290" s="648">
        <v>53.59</v>
      </c>
      <c r="Q290" s="281"/>
      <c r="R290" s="281">
        <v>53.39</v>
      </c>
      <c r="S290" s="263">
        <f aca="true" t="shared" si="176" ref="S290:S315">O290+P290-R290</f>
        <v>137.46000000000004</v>
      </c>
      <c r="T290" s="144">
        <f aca="true" t="shared" si="177" ref="T290:T315">R290</f>
        <v>53.39</v>
      </c>
      <c r="U290" s="144">
        <f aca="true" t="shared" si="178" ref="U290:U315">M290</f>
        <v>137.45</v>
      </c>
      <c r="V290" s="144">
        <f aca="true" t="shared" si="179" ref="V290:V315">I290</f>
        <v>-281.04</v>
      </c>
      <c r="W290" s="188">
        <f aca="true" t="shared" si="180" ref="W290:W316">T290+U290+V290</f>
        <v>-90.20000000000005</v>
      </c>
      <c r="X290" s="751">
        <f t="shared" si="170"/>
        <v>119.89</v>
      </c>
      <c r="Y290" s="752">
        <f t="shared" si="171"/>
        <v>412.34999999999997</v>
      </c>
      <c r="Z290" s="752">
        <f t="shared" si="172"/>
        <v>-281.04</v>
      </c>
      <c r="AA290" s="753">
        <f aca="true" t="shared" si="181" ref="AA290:AA314">X290+Y290+Z290</f>
        <v>251.2</v>
      </c>
      <c r="AB290" s="620">
        <f>Y290+Z290</f>
        <v>131.30999999999995</v>
      </c>
      <c r="AC290" s="624">
        <f aca="true" t="shared" si="182" ref="AC290:AC315">C290+H290+L290+P290</f>
        <v>34362.38</v>
      </c>
      <c r="AD290" s="278">
        <f aca="true" t="shared" si="183" ref="AD290:AD315">D290+I290+M290+R290</f>
        <v>34810.02</v>
      </c>
      <c r="AE290" s="649">
        <f aca="true" t="shared" si="184" ref="AE290:AE315">D290+R290</f>
        <v>34953.61</v>
      </c>
    </row>
    <row r="291" spans="1:31" ht="18.75">
      <c r="A291" s="73" t="s">
        <v>8</v>
      </c>
      <c r="B291" s="74">
        <f t="shared" si="166"/>
        <v>74445.62</v>
      </c>
      <c r="C291" s="1414"/>
      <c r="D291" s="1432"/>
      <c r="E291" s="74"/>
      <c r="F291" s="74">
        <f t="shared" si="173"/>
        <v>74445.62</v>
      </c>
      <c r="G291" s="258">
        <f t="shared" si="167"/>
        <v>0</v>
      </c>
      <c r="H291" s="602"/>
      <c r="I291" s="258"/>
      <c r="J291" s="258">
        <f t="shared" si="174"/>
        <v>0</v>
      </c>
      <c r="K291" s="78">
        <f t="shared" si="168"/>
        <v>0</v>
      </c>
      <c r="L291" s="1406"/>
      <c r="M291" s="108"/>
      <c r="N291" s="108">
        <f t="shared" si="175"/>
        <v>0</v>
      </c>
      <c r="O291" s="274">
        <f t="shared" si="169"/>
        <v>0</v>
      </c>
      <c r="P291" s="301">
        <v>0</v>
      </c>
      <c r="Q291" s="263"/>
      <c r="R291" s="263"/>
      <c r="S291" s="263">
        <f t="shared" si="176"/>
        <v>0</v>
      </c>
      <c r="T291" s="144">
        <f t="shared" si="177"/>
        <v>0</v>
      </c>
      <c r="U291" s="144">
        <f t="shared" si="178"/>
        <v>0</v>
      </c>
      <c r="V291" s="144">
        <f t="shared" si="179"/>
        <v>0</v>
      </c>
      <c r="W291" s="188">
        <f t="shared" si="180"/>
        <v>0</v>
      </c>
      <c r="X291" s="751">
        <f t="shared" si="170"/>
        <v>0</v>
      </c>
      <c r="Y291" s="752">
        <f t="shared" si="171"/>
        <v>0</v>
      </c>
      <c r="Z291" s="752">
        <f t="shared" si="172"/>
        <v>0</v>
      </c>
      <c r="AA291" s="753">
        <f t="shared" si="181"/>
        <v>0</v>
      </c>
      <c r="AB291" s="620">
        <f aca="true" t="shared" si="185" ref="AB291:AB315">Y291+Z291</f>
        <v>0</v>
      </c>
      <c r="AC291" s="624">
        <f t="shared" si="182"/>
        <v>0</v>
      </c>
      <c r="AD291" s="278">
        <f t="shared" si="183"/>
        <v>0</v>
      </c>
      <c r="AE291" s="649">
        <f t="shared" si="184"/>
        <v>0</v>
      </c>
    </row>
    <row r="292" spans="1:31" ht="18.75">
      <c r="A292" s="311" t="s">
        <v>48</v>
      </c>
      <c r="B292" s="74">
        <f t="shared" si="166"/>
        <v>393683.1500000002</v>
      </c>
      <c r="C292" s="1414">
        <v>81846.25</v>
      </c>
      <c r="D292" s="1433">
        <v>82910.76</v>
      </c>
      <c r="E292" s="74"/>
      <c r="F292" s="74">
        <f t="shared" si="173"/>
        <v>392618.6400000002</v>
      </c>
      <c r="G292" s="258">
        <f t="shared" si="167"/>
        <v>32461.559999999998</v>
      </c>
      <c r="H292" s="1076">
        <v>1401.11</v>
      </c>
      <c r="I292" s="258">
        <v>21412</v>
      </c>
      <c r="J292" s="258">
        <f t="shared" si="174"/>
        <v>12450.669999999998</v>
      </c>
      <c r="K292" s="78">
        <f t="shared" si="168"/>
        <v>-442.0999999999991</v>
      </c>
      <c r="L292" s="1406">
        <v>1696.52</v>
      </c>
      <c r="M292" s="625">
        <v>2883.25</v>
      </c>
      <c r="N292" s="108">
        <f t="shared" si="175"/>
        <v>-1628.829999999999</v>
      </c>
      <c r="O292" s="274">
        <f t="shared" si="169"/>
        <v>-1855.8099999999995</v>
      </c>
      <c r="P292" s="301">
        <v>301.15</v>
      </c>
      <c r="Q292" s="263"/>
      <c r="R292" s="263">
        <v>282.75</v>
      </c>
      <c r="S292" s="263">
        <f t="shared" si="176"/>
        <v>-1837.4099999999994</v>
      </c>
      <c r="T292" s="144">
        <f t="shared" si="177"/>
        <v>282.75</v>
      </c>
      <c r="U292" s="144">
        <f t="shared" si="178"/>
        <v>2883.25</v>
      </c>
      <c r="V292" s="144">
        <f t="shared" si="179"/>
        <v>21412</v>
      </c>
      <c r="W292" s="188">
        <f t="shared" si="180"/>
        <v>24578</v>
      </c>
      <c r="X292" s="751">
        <f t="shared" si="170"/>
        <v>558.11</v>
      </c>
      <c r="Y292" s="752">
        <f t="shared" si="171"/>
        <v>4693.99</v>
      </c>
      <c r="Z292" s="752">
        <f t="shared" si="172"/>
        <v>21412</v>
      </c>
      <c r="AA292" s="753">
        <f t="shared" si="181"/>
        <v>26664.1</v>
      </c>
      <c r="AB292" s="620">
        <f>Y292+Z292</f>
        <v>26105.989999999998</v>
      </c>
      <c r="AC292" s="624">
        <f t="shared" si="182"/>
        <v>85245.03</v>
      </c>
      <c r="AD292" s="278">
        <f t="shared" si="183"/>
        <v>107488.76</v>
      </c>
      <c r="AE292" s="649">
        <f t="shared" si="184"/>
        <v>83193.51</v>
      </c>
    </row>
    <row r="293" spans="1:31" ht="18.75">
      <c r="A293" s="73" t="s">
        <v>9</v>
      </c>
      <c r="B293" s="74">
        <f t="shared" si="166"/>
        <v>132599.74000000002</v>
      </c>
      <c r="C293" s="1431">
        <v>20363.74</v>
      </c>
      <c r="D293" s="1433">
        <v>17704.94</v>
      </c>
      <c r="E293" s="74"/>
      <c r="F293" s="74">
        <f t="shared" si="173"/>
        <v>135258.54</v>
      </c>
      <c r="G293" s="258">
        <f t="shared" si="167"/>
        <v>38287.029999999984</v>
      </c>
      <c r="H293" s="1076">
        <v>1621.17</v>
      </c>
      <c r="I293" s="258">
        <v>25346.19</v>
      </c>
      <c r="J293" s="258">
        <f t="shared" si="174"/>
        <v>14562.009999999984</v>
      </c>
      <c r="K293" s="78">
        <f t="shared" si="168"/>
        <v>0</v>
      </c>
      <c r="L293" s="1406"/>
      <c r="M293" s="108"/>
      <c r="N293" s="108">
        <f t="shared" si="175"/>
        <v>0</v>
      </c>
      <c r="O293" s="274">
        <f t="shared" si="169"/>
        <v>1091.1199999999997</v>
      </c>
      <c r="P293" s="301">
        <v>40.83</v>
      </c>
      <c r="Q293" s="263"/>
      <c r="R293" s="263">
        <v>40.52</v>
      </c>
      <c r="S293" s="263">
        <f t="shared" si="176"/>
        <v>1091.4299999999996</v>
      </c>
      <c r="T293" s="144">
        <f t="shared" si="177"/>
        <v>40.52</v>
      </c>
      <c r="U293" s="799">
        <f t="shared" si="178"/>
        <v>0</v>
      </c>
      <c r="V293" s="144">
        <f t="shared" si="179"/>
        <v>25346.19</v>
      </c>
      <c r="W293" s="188">
        <f t="shared" si="180"/>
        <v>25386.71</v>
      </c>
      <c r="X293" s="751">
        <f t="shared" si="170"/>
        <v>131.16</v>
      </c>
      <c r="Y293" s="752">
        <f t="shared" si="171"/>
        <v>0</v>
      </c>
      <c r="Z293" s="752">
        <f t="shared" si="172"/>
        <v>25346.19</v>
      </c>
      <c r="AA293" s="753">
        <f t="shared" si="181"/>
        <v>25477.35</v>
      </c>
      <c r="AB293" s="620">
        <f t="shared" si="185"/>
        <v>25346.19</v>
      </c>
      <c r="AC293" s="624">
        <f t="shared" si="182"/>
        <v>22025.740000000005</v>
      </c>
      <c r="AD293" s="278">
        <f t="shared" si="183"/>
        <v>43091.649999999994</v>
      </c>
      <c r="AE293" s="649">
        <f t="shared" si="184"/>
        <v>17745.46</v>
      </c>
    </row>
    <row r="294" spans="1:31" ht="18.75">
      <c r="A294" s="311" t="s">
        <v>10</v>
      </c>
      <c r="B294" s="74">
        <f t="shared" si="166"/>
        <v>9876.4800000001</v>
      </c>
      <c r="C294" s="1414">
        <v>8796.01</v>
      </c>
      <c r="D294" s="1433">
        <v>8306.04</v>
      </c>
      <c r="E294" s="74"/>
      <c r="F294" s="74">
        <f t="shared" si="173"/>
        <v>10366.450000000099</v>
      </c>
      <c r="G294" s="258">
        <f t="shared" si="167"/>
        <v>0</v>
      </c>
      <c r="H294" s="602"/>
      <c r="I294" s="258"/>
      <c r="J294" s="258">
        <f t="shared" si="174"/>
        <v>0</v>
      </c>
      <c r="K294" s="78">
        <f t="shared" si="168"/>
        <v>0</v>
      </c>
      <c r="L294" s="1406"/>
      <c r="M294" s="108"/>
      <c r="N294" s="108">
        <f t="shared" si="175"/>
        <v>0</v>
      </c>
      <c r="O294" s="274">
        <f t="shared" si="169"/>
        <v>47.67999999999999</v>
      </c>
      <c r="P294" s="301">
        <v>0.26</v>
      </c>
      <c r="Q294" s="263"/>
      <c r="R294" s="263">
        <v>0.26</v>
      </c>
      <c r="S294" s="263">
        <f t="shared" si="176"/>
        <v>47.67999999999999</v>
      </c>
      <c r="T294" s="144">
        <f t="shared" si="177"/>
        <v>0.26</v>
      </c>
      <c r="U294" s="144">
        <f t="shared" si="178"/>
        <v>0</v>
      </c>
      <c r="V294" s="144">
        <f t="shared" si="179"/>
        <v>0</v>
      </c>
      <c r="W294" s="188">
        <f t="shared" si="180"/>
        <v>0.26</v>
      </c>
      <c r="X294" s="751">
        <f t="shared" si="170"/>
        <v>0.26</v>
      </c>
      <c r="Y294" s="752">
        <f t="shared" si="171"/>
        <v>0</v>
      </c>
      <c r="Z294" s="752">
        <f t="shared" si="172"/>
        <v>0</v>
      </c>
      <c r="AA294" s="753">
        <f t="shared" si="181"/>
        <v>0.26</v>
      </c>
      <c r="AB294" s="620">
        <f t="shared" si="185"/>
        <v>0</v>
      </c>
      <c r="AC294" s="624">
        <f t="shared" si="182"/>
        <v>8796.27</v>
      </c>
      <c r="AD294" s="278">
        <f t="shared" si="183"/>
        <v>8306.300000000001</v>
      </c>
      <c r="AE294" s="649">
        <f t="shared" si="184"/>
        <v>8306.300000000001</v>
      </c>
    </row>
    <row r="295" spans="1:31" ht="18.75">
      <c r="A295" s="311" t="s">
        <v>11</v>
      </c>
      <c r="B295" s="74">
        <f t="shared" si="166"/>
        <v>6142.900000000031</v>
      </c>
      <c r="C295" s="1414">
        <v>8764.88</v>
      </c>
      <c r="D295" s="1433">
        <v>7914.02</v>
      </c>
      <c r="E295" s="74"/>
      <c r="F295" s="74">
        <f t="shared" si="173"/>
        <v>6993.760000000029</v>
      </c>
      <c r="G295" s="258">
        <f t="shared" si="167"/>
        <v>0</v>
      </c>
      <c r="H295" s="602"/>
      <c r="I295" s="258"/>
      <c r="J295" s="258">
        <f t="shared" si="174"/>
        <v>0</v>
      </c>
      <c r="K295" s="78">
        <f t="shared" si="168"/>
        <v>0</v>
      </c>
      <c r="L295" s="1406"/>
      <c r="M295" s="108"/>
      <c r="N295" s="108">
        <f t="shared" si="175"/>
        <v>0</v>
      </c>
      <c r="O295" s="274">
        <f t="shared" si="169"/>
        <v>89.53</v>
      </c>
      <c r="P295" s="301">
        <v>0</v>
      </c>
      <c r="Q295" s="263"/>
      <c r="R295" s="263"/>
      <c r="S295" s="263">
        <f t="shared" si="176"/>
        <v>89.53</v>
      </c>
      <c r="T295" s="144">
        <f t="shared" si="177"/>
        <v>0</v>
      </c>
      <c r="U295" s="144">
        <f t="shared" si="178"/>
        <v>0</v>
      </c>
      <c r="V295" s="144">
        <f t="shared" si="179"/>
        <v>0</v>
      </c>
      <c r="W295" s="188">
        <f t="shared" si="180"/>
        <v>0</v>
      </c>
      <c r="X295" s="751">
        <f t="shared" si="170"/>
        <v>62.77</v>
      </c>
      <c r="Y295" s="752">
        <f t="shared" si="171"/>
        <v>0</v>
      </c>
      <c r="Z295" s="752">
        <f t="shared" si="172"/>
        <v>0</v>
      </c>
      <c r="AA295" s="753">
        <f t="shared" si="181"/>
        <v>62.77</v>
      </c>
      <c r="AB295" s="620">
        <f t="shared" si="185"/>
        <v>0</v>
      </c>
      <c r="AC295" s="624">
        <f t="shared" si="182"/>
        <v>8764.88</v>
      </c>
      <c r="AD295" s="278">
        <f t="shared" si="183"/>
        <v>7914.02</v>
      </c>
      <c r="AE295" s="649">
        <f t="shared" si="184"/>
        <v>7914.02</v>
      </c>
    </row>
    <row r="296" spans="1:31" ht="18.75">
      <c r="A296" s="311" t="s">
        <v>12</v>
      </c>
      <c r="B296" s="74">
        <f t="shared" si="166"/>
        <v>98218.94000000019</v>
      </c>
      <c r="C296" s="1414">
        <v>50194.42</v>
      </c>
      <c r="D296" s="1433">
        <v>56110.69</v>
      </c>
      <c r="E296" s="74"/>
      <c r="F296" s="74">
        <f t="shared" si="173"/>
        <v>92302.67000000019</v>
      </c>
      <c r="G296" s="258">
        <f t="shared" si="167"/>
        <v>10810.189999999993</v>
      </c>
      <c r="H296" s="1076">
        <v>583.65</v>
      </c>
      <c r="I296" s="258">
        <v>6207.36</v>
      </c>
      <c r="J296" s="258">
        <f t="shared" si="174"/>
        <v>5186.479999999993</v>
      </c>
      <c r="K296" s="78">
        <f t="shared" si="168"/>
        <v>1508.3999999999985</v>
      </c>
      <c r="L296" s="1406">
        <v>1722.24</v>
      </c>
      <c r="M296" s="625">
        <v>1722.24</v>
      </c>
      <c r="N296" s="108">
        <f t="shared" si="175"/>
        <v>1508.3999999999985</v>
      </c>
      <c r="O296" s="274">
        <f t="shared" si="169"/>
        <v>248.49</v>
      </c>
      <c r="P296" s="301">
        <v>127.66</v>
      </c>
      <c r="Q296" s="263"/>
      <c r="R296" s="263">
        <v>125.75</v>
      </c>
      <c r="S296" s="263">
        <f t="shared" si="176"/>
        <v>250.39999999999998</v>
      </c>
      <c r="T296" s="144">
        <f t="shared" si="177"/>
        <v>125.75</v>
      </c>
      <c r="U296" s="144">
        <f t="shared" si="178"/>
        <v>1722.24</v>
      </c>
      <c r="V296" s="144">
        <f t="shared" si="179"/>
        <v>6207.36</v>
      </c>
      <c r="W296" s="188">
        <f t="shared" si="180"/>
        <v>8055.349999999999</v>
      </c>
      <c r="X296" s="751">
        <f t="shared" si="170"/>
        <v>345.88</v>
      </c>
      <c r="Y296" s="752">
        <f t="shared" si="171"/>
        <v>5166.72</v>
      </c>
      <c r="Z296" s="752">
        <f t="shared" si="172"/>
        <v>6207.36</v>
      </c>
      <c r="AA296" s="753">
        <f t="shared" si="181"/>
        <v>11719.96</v>
      </c>
      <c r="AB296" s="620">
        <f t="shared" si="185"/>
        <v>11374.08</v>
      </c>
      <c r="AC296" s="624">
        <f t="shared" si="182"/>
        <v>52627.97</v>
      </c>
      <c r="AD296" s="278">
        <f t="shared" si="183"/>
        <v>64166.04</v>
      </c>
      <c r="AE296" s="649">
        <f t="shared" si="184"/>
        <v>56236.44</v>
      </c>
    </row>
    <row r="297" spans="1:31" ht="18.75">
      <c r="A297" s="73" t="s">
        <v>13</v>
      </c>
      <c r="B297" s="74">
        <f t="shared" si="166"/>
        <v>55354.460000000036</v>
      </c>
      <c r="C297" s="1414">
        <v>29655.43</v>
      </c>
      <c r="D297" s="1433">
        <v>27570.13</v>
      </c>
      <c r="E297" s="74"/>
      <c r="F297" s="74">
        <f t="shared" si="173"/>
        <v>57439.76000000004</v>
      </c>
      <c r="G297" s="258">
        <f t="shared" si="167"/>
        <v>3818.359999999998</v>
      </c>
      <c r="H297" s="1076">
        <v>196.74</v>
      </c>
      <c r="I297" s="258">
        <v>2092.44</v>
      </c>
      <c r="J297" s="258">
        <f t="shared" si="174"/>
        <v>1922.6599999999976</v>
      </c>
      <c r="K297" s="78">
        <f t="shared" si="168"/>
        <v>-834.48</v>
      </c>
      <c r="L297" s="1406">
        <v>727.77</v>
      </c>
      <c r="M297" s="625">
        <v>1455.54</v>
      </c>
      <c r="N297" s="108">
        <f t="shared" si="175"/>
        <v>-1562.25</v>
      </c>
      <c r="O297" s="274">
        <f t="shared" si="169"/>
        <v>59.560000000000045</v>
      </c>
      <c r="P297" s="301">
        <v>65.3</v>
      </c>
      <c r="Q297" s="263"/>
      <c r="R297" s="263">
        <v>65.76</v>
      </c>
      <c r="S297" s="263">
        <f t="shared" si="176"/>
        <v>59.10000000000004</v>
      </c>
      <c r="T297" s="144">
        <f t="shared" si="177"/>
        <v>65.76</v>
      </c>
      <c r="U297" s="144">
        <f t="shared" si="178"/>
        <v>1455.54</v>
      </c>
      <c r="V297" s="144">
        <f t="shared" si="179"/>
        <v>2092.44</v>
      </c>
      <c r="W297" s="188">
        <f t="shared" si="180"/>
        <v>3613.74</v>
      </c>
      <c r="X297" s="751">
        <f t="shared" si="170"/>
        <v>232.79000000000002</v>
      </c>
      <c r="Y297" s="752">
        <f t="shared" si="171"/>
        <v>1455.54</v>
      </c>
      <c r="Z297" s="752">
        <f t="shared" si="172"/>
        <v>2092.44</v>
      </c>
      <c r="AA297" s="753">
        <f t="shared" si="181"/>
        <v>3780.77</v>
      </c>
      <c r="AB297" s="620">
        <f t="shared" si="185"/>
        <v>3547.98</v>
      </c>
      <c r="AC297" s="624">
        <f t="shared" si="182"/>
        <v>30645.24</v>
      </c>
      <c r="AD297" s="278">
        <f t="shared" si="183"/>
        <v>31183.87</v>
      </c>
      <c r="AE297" s="649">
        <f t="shared" si="184"/>
        <v>27635.89</v>
      </c>
    </row>
    <row r="298" spans="1:31" ht="18.75">
      <c r="A298" s="73" t="s">
        <v>14</v>
      </c>
      <c r="B298" s="74">
        <f t="shared" si="166"/>
        <v>63097.53000000008</v>
      </c>
      <c r="C298" s="1414">
        <v>36574.19</v>
      </c>
      <c r="D298" s="1433">
        <v>35449.95</v>
      </c>
      <c r="E298" s="74"/>
      <c r="F298" s="74">
        <f t="shared" si="173"/>
        <v>64221.77000000009</v>
      </c>
      <c r="G298" s="258">
        <f t="shared" si="167"/>
        <v>3451.66</v>
      </c>
      <c r="H298" s="602"/>
      <c r="I298" s="258">
        <v>3451.36</v>
      </c>
      <c r="J298" s="258">
        <f t="shared" si="174"/>
        <v>0.29999999999972715</v>
      </c>
      <c r="K298" s="78">
        <f t="shared" si="168"/>
        <v>5171.71</v>
      </c>
      <c r="L298" s="1406">
        <v>2926</v>
      </c>
      <c r="M298" s="625">
        <v>3672.89</v>
      </c>
      <c r="N298" s="108">
        <f t="shared" si="175"/>
        <v>4424.82</v>
      </c>
      <c r="O298" s="274">
        <f t="shared" si="169"/>
        <v>-213.72000000000003</v>
      </c>
      <c r="P298" s="301">
        <v>20.84</v>
      </c>
      <c r="Q298" s="263"/>
      <c r="R298" s="263">
        <v>17.99</v>
      </c>
      <c r="S298" s="263">
        <f t="shared" si="176"/>
        <v>-210.87000000000003</v>
      </c>
      <c r="T298" s="144">
        <f t="shared" si="177"/>
        <v>17.99</v>
      </c>
      <c r="U298" s="144">
        <f t="shared" si="178"/>
        <v>3672.89</v>
      </c>
      <c r="V298" s="144">
        <f t="shared" si="179"/>
        <v>3451.36</v>
      </c>
      <c r="W298" s="188">
        <f t="shared" si="180"/>
        <v>7142.24</v>
      </c>
      <c r="X298" s="751">
        <f t="shared" si="170"/>
        <v>117.33</v>
      </c>
      <c r="Y298" s="752">
        <f t="shared" si="171"/>
        <v>8365.38</v>
      </c>
      <c r="Z298" s="752">
        <f t="shared" si="172"/>
        <v>3451.36</v>
      </c>
      <c r="AA298" s="753">
        <f t="shared" si="181"/>
        <v>11934.07</v>
      </c>
      <c r="AB298" s="620">
        <f t="shared" si="185"/>
        <v>11816.74</v>
      </c>
      <c r="AC298" s="624">
        <f t="shared" si="182"/>
        <v>39521.03</v>
      </c>
      <c r="AD298" s="278">
        <f t="shared" si="183"/>
        <v>42592.189999999995</v>
      </c>
      <c r="AE298" s="649">
        <f t="shared" si="184"/>
        <v>35467.939999999995</v>
      </c>
    </row>
    <row r="299" spans="1:31" ht="18.75">
      <c r="A299" s="311" t="s">
        <v>55</v>
      </c>
      <c r="B299" s="74">
        <f t="shared" si="166"/>
        <v>33401.99000000002</v>
      </c>
      <c r="C299" s="1414">
        <v>16275.19</v>
      </c>
      <c r="D299" s="1433">
        <v>14716.41</v>
      </c>
      <c r="E299" s="74"/>
      <c r="F299" s="74">
        <f t="shared" si="173"/>
        <v>34960.77000000002</v>
      </c>
      <c r="G299" s="258">
        <f t="shared" si="167"/>
        <v>3876.6000000000013</v>
      </c>
      <c r="H299" s="1076">
        <v>209.3</v>
      </c>
      <c r="I299" s="258">
        <v>2226</v>
      </c>
      <c r="J299" s="258">
        <f t="shared" si="174"/>
        <v>1859.9000000000015</v>
      </c>
      <c r="K299" s="78">
        <f t="shared" si="168"/>
        <v>2682.490000000003</v>
      </c>
      <c r="L299" s="1406">
        <v>773.21</v>
      </c>
      <c r="M299" s="108"/>
      <c r="N299" s="108">
        <f t="shared" si="175"/>
        <v>3455.700000000003</v>
      </c>
      <c r="O299" s="274">
        <f t="shared" si="169"/>
        <v>-756.58</v>
      </c>
      <c r="P299" s="301">
        <v>18.33</v>
      </c>
      <c r="Q299" s="263"/>
      <c r="R299" s="263">
        <v>25.58</v>
      </c>
      <c r="S299" s="263">
        <f t="shared" si="176"/>
        <v>-763.83</v>
      </c>
      <c r="T299" s="144">
        <f t="shared" si="177"/>
        <v>25.58</v>
      </c>
      <c r="U299" s="144">
        <f t="shared" si="178"/>
        <v>0</v>
      </c>
      <c r="V299" s="144">
        <f t="shared" si="179"/>
        <v>2226</v>
      </c>
      <c r="W299" s="188">
        <f t="shared" si="180"/>
        <v>2251.58</v>
      </c>
      <c r="X299" s="751">
        <f t="shared" si="170"/>
        <v>100.21</v>
      </c>
      <c r="Y299" s="752">
        <f t="shared" si="171"/>
        <v>705.64</v>
      </c>
      <c r="Z299" s="752">
        <f t="shared" si="172"/>
        <v>2226</v>
      </c>
      <c r="AA299" s="753">
        <f t="shared" si="181"/>
        <v>3031.85</v>
      </c>
      <c r="AB299" s="620">
        <f t="shared" si="185"/>
        <v>2931.64</v>
      </c>
      <c r="AC299" s="624">
        <f t="shared" si="182"/>
        <v>17276.030000000002</v>
      </c>
      <c r="AD299" s="278">
        <f t="shared" si="183"/>
        <v>16967.99</v>
      </c>
      <c r="AE299" s="649">
        <f t="shared" si="184"/>
        <v>14741.99</v>
      </c>
    </row>
    <row r="300" spans="1:31" ht="18.75">
      <c r="A300" s="73" t="s">
        <v>15</v>
      </c>
      <c r="B300" s="74">
        <f t="shared" si="166"/>
        <v>122060.65000000031</v>
      </c>
      <c r="C300" s="1414">
        <v>39158.97</v>
      </c>
      <c r="D300" s="1433">
        <v>37700.95</v>
      </c>
      <c r="E300" s="74"/>
      <c r="F300" s="74">
        <f t="shared" si="173"/>
        <v>123518.67000000032</v>
      </c>
      <c r="G300" s="258">
        <f t="shared" si="167"/>
        <v>0</v>
      </c>
      <c r="H300" s="602"/>
      <c r="I300" s="258"/>
      <c r="J300" s="258">
        <f t="shared" si="174"/>
        <v>0</v>
      </c>
      <c r="K300" s="78">
        <f t="shared" si="168"/>
        <v>9156.460000000001</v>
      </c>
      <c r="L300" s="1406">
        <v>2209.01</v>
      </c>
      <c r="M300" s="144"/>
      <c r="N300" s="108">
        <f>K300+L300-M300</f>
        <v>11365.470000000001</v>
      </c>
      <c r="O300" s="274">
        <f t="shared" si="169"/>
        <v>460.36999999999966</v>
      </c>
      <c r="P300" s="301">
        <v>26.07</v>
      </c>
      <c r="Q300" s="263"/>
      <c r="R300" s="263">
        <v>19.32</v>
      </c>
      <c r="S300" s="263">
        <f t="shared" si="176"/>
        <v>467.11999999999966</v>
      </c>
      <c r="T300" s="144">
        <f t="shared" si="177"/>
        <v>19.32</v>
      </c>
      <c r="U300" s="144">
        <f>M300</f>
        <v>0</v>
      </c>
      <c r="V300" s="144">
        <f t="shared" si="179"/>
        <v>0</v>
      </c>
      <c r="W300" s="188">
        <f>T300+U300+V300</f>
        <v>19.32</v>
      </c>
      <c r="X300" s="751">
        <f t="shared" si="170"/>
        <v>102.96000000000001</v>
      </c>
      <c r="Y300" s="752">
        <f t="shared" si="171"/>
        <v>1200.18</v>
      </c>
      <c r="Z300" s="752">
        <f t="shared" si="172"/>
        <v>0</v>
      </c>
      <c r="AA300" s="753">
        <f t="shared" si="181"/>
        <v>1303.14</v>
      </c>
      <c r="AB300" s="620">
        <f t="shared" si="185"/>
        <v>1200.18</v>
      </c>
      <c r="AC300" s="624">
        <f t="shared" si="182"/>
        <v>41394.05</v>
      </c>
      <c r="AD300" s="278">
        <f t="shared" si="183"/>
        <v>37720.27</v>
      </c>
      <c r="AE300" s="649">
        <f t="shared" si="184"/>
        <v>37720.27</v>
      </c>
    </row>
    <row r="301" spans="1:31" ht="18.75">
      <c r="A301" s="311" t="s">
        <v>16</v>
      </c>
      <c r="B301" s="74">
        <f t="shared" si="166"/>
        <v>38023.270000000084</v>
      </c>
      <c r="C301" s="1414">
        <v>31868.05</v>
      </c>
      <c r="D301" s="1433">
        <v>29442.17</v>
      </c>
      <c r="E301" s="74"/>
      <c r="F301" s="74">
        <f t="shared" si="173"/>
        <v>40449.15000000008</v>
      </c>
      <c r="G301" s="258">
        <f t="shared" si="167"/>
        <v>0</v>
      </c>
      <c r="H301" s="602"/>
      <c r="I301" s="258"/>
      <c r="J301" s="258">
        <f t="shared" si="174"/>
        <v>0</v>
      </c>
      <c r="K301" s="78">
        <f t="shared" si="168"/>
        <v>1820.480000000002</v>
      </c>
      <c r="L301" s="1406">
        <v>328.3</v>
      </c>
      <c r="M301" s="144"/>
      <c r="N301" s="108">
        <f t="shared" si="175"/>
        <v>2148.780000000002</v>
      </c>
      <c r="O301" s="274">
        <f t="shared" si="169"/>
        <v>26.25</v>
      </c>
      <c r="P301" s="301">
        <v>103.1</v>
      </c>
      <c r="Q301" s="263"/>
      <c r="R301" s="263">
        <v>103.1</v>
      </c>
      <c r="S301" s="263">
        <f t="shared" si="176"/>
        <v>26.25</v>
      </c>
      <c r="T301" s="144">
        <f t="shared" si="177"/>
        <v>103.1</v>
      </c>
      <c r="U301" s="144">
        <f t="shared" si="178"/>
        <v>0</v>
      </c>
      <c r="V301" s="144">
        <f t="shared" si="179"/>
        <v>0</v>
      </c>
      <c r="W301" s="188">
        <f t="shared" si="180"/>
        <v>103.1</v>
      </c>
      <c r="X301" s="751">
        <f t="shared" si="170"/>
        <v>382.74</v>
      </c>
      <c r="Y301" s="752">
        <f t="shared" si="171"/>
        <v>984.9</v>
      </c>
      <c r="Z301" s="752">
        <f t="shared" si="172"/>
        <v>0</v>
      </c>
      <c r="AA301" s="753">
        <f t="shared" si="181"/>
        <v>1367.6399999999999</v>
      </c>
      <c r="AB301" s="620">
        <f t="shared" si="185"/>
        <v>984.9</v>
      </c>
      <c r="AC301" s="624">
        <f>C301+H301+L301+P301</f>
        <v>32299.449999999997</v>
      </c>
      <c r="AD301" s="278">
        <f t="shared" si="183"/>
        <v>29545.269999999997</v>
      </c>
      <c r="AE301" s="649">
        <f t="shared" si="184"/>
        <v>29545.269999999997</v>
      </c>
    </row>
    <row r="302" spans="1:31" ht="18.75">
      <c r="A302" s="73" t="s">
        <v>17</v>
      </c>
      <c r="B302" s="74">
        <f t="shared" si="166"/>
        <v>54140.20000000033</v>
      </c>
      <c r="C302" s="1414">
        <v>41492.76</v>
      </c>
      <c r="D302" s="1433">
        <v>35884.15</v>
      </c>
      <c r="E302" s="74"/>
      <c r="F302" s="74">
        <f t="shared" si="173"/>
        <v>59748.81000000034</v>
      </c>
      <c r="G302" s="258">
        <f t="shared" si="167"/>
        <v>7697.819999999999</v>
      </c>
      <c r="H302" s="1076">
        <v>415.61</v>
      </c>
      <c r="I302" s="258">
        <v>4420.2</v>
      </c>
      <c r="J302" s="258">
        <f t="shared" si="174"/>
        <v>3693.2299999999987</v>
      </c>
      <c r="K302" s="78">
        <f t="shared" si="168"/>
        <v>1318.6299999999997</v>
      </c>
      <c r="L302" s="1406">
        <v>699.06</v>
      </c>
      <c r="M302" s="625">
        <v>699.06</v>
      </c>
      <c r="N302" s="108">
        <f t="shared" si="175"/>
        <v>1318.6299999999997</v>
      </c>
      <c r="O302" s="274">
        <f t="shared" si="169"/>
        <v>80.36</v>
      </c>
      <c r="P302" s="301">
        <v>11.28</v>
      </c>
      <c r="Q302" s="263"/>
      <c r="R302" s="263">
        <v>11.28</v>
      </c>
      <c r="S302" s="263">
        <f t="shared" si="176"/>
        <v>80.36</v>
      </c>
      <c r="T302" s="144">
        <f t="shared" si="177"/>
        <v>11.28</v>
      </c>
      <c r="U302" s="799">
        <f t="shared" si="178"/>
        <v>699.06</v>
      </c>
      <c r="V302" s="144">
        <f t="shared" si="179"/>
        <v>4420.2</v>
      </c>
      <c r="W302" s="188">
        <f t="shared" si="180"/>
        <v>5130.54</v>
      </c>
      <c r="X302" s="751">
        <f t="shared" si="170"/>
        <v>100.96000000000001</v>
      </c>
      <c r="Y302" s="752">
        <f t="shared" si="171"/>
        <v>2097.18</v>
      </c>
      <c r="Z302" s="752">
        <f t="shared" si="172"/>
        <v>4420.2</v>
      </c>
      <c r="AA302" s="753">
        <f t="shared" si="181"/>
        <v>6618.34</v>
      </c>
      <c r="AB302" s="620">
        <f t="shared" si="185"/>
        <v>6517.379999999999</v>
      </c>
      <c r="AC302" s="624">
        <f t="shared" si="182"/>
        <v>42618.71</v>
      </c>
      <c r="AD302" s="278">
        <f t="shared" si="183"/>
        <v>41014.689999999995</v>
      </c>
      <c r="AE302" s="649">
        <f t="shared" si="184"/>
        <v>35895.43</v>
      </c>
    </row>
    <row r="303" spans="1:31" ht="18.75">
      <c r="A303" s="311" t="s">
        <v>18</v>
      </c>
      <c r="B303" s="74">
        <f t="shared" si="166"/>
        <v>168920.68</v>
      </c>
      <c r="C303" s="1414">
        <v>88452</v>
      </c>
      <c r="D303" s="1433">
        <v>88694.79</v>
      </c>
      <c r="E303" s="74"/>
      <c r="F303" s="74">
        <f t="shared" si="173"/>
        <v>168677.89</v>
      </c>
      <c r="G303" s="258">
        <f t="shared" si="167"/>
        <v>492.3699999999986</v>
      </c>
      <c r="H303" s="602"/>
      <c r="I303" s="258">
        <v>146.28</v>
      </c>
      <c r="J303" s="258">
        <f t="shared" si="174"/>
        <v>346.08999999999855</v>
      </c>
      <c r="K303" s="78">
        <f t="shared" si="168"/>
        <v>5327.719999999999</v>
      </c>
      <c r="L303" s="1406">
        <v>2704.76</v>
      </c>
      <c r="M303" s="625">
        <v>3509.07</v>
      </c>
      <c r="N303" s="108">
        <f t="shared" si="175"/>
        <v>4523.41</v>
      </c>
      <c r="O303" s="274">
        <f t="shared" si="169"/>
        <v>821.1800000000001</v>
      </c>
      <c r="P303" s="301">
        <v>121.12</v>
      </c>
      <c r="Q303" s="263"/>
      <c r="R303" s="263">
        <v>240.88</v>
      </c>
      <c r="S303" s="263">
        <f t="shared" si="176"/>
        <v>701.4200000000001</v>
      </c>
      <c r="T303" s="144">
        <f t="shared" si="177"/>
        <v>240.88</v>
      </c>
      <c r="U303" s="144">
        <f t="shared" si="178"/>
        <v>3509.07</v>
      </c>
      <c r="V303" s="144">
        <f t="shared" si="179"/>
        <v>146.28</v>
      </c>
      <c r="W303" s="188">
        <f t="shared" si="180"/>
        <v>3896.2300000000005</v>
      </c>
      <c r="X303" s="751">
        <f t="shared" si="170"/>
        <v>453.55</v>
      </c>
      <c r="Y303" s="752">
        <f t="shared" si="171"/>
        <v>8888.69</v>
      </c>
      <c r="Z303" s="752">
        <f t="shared" si="172"/>
        <v>146.28</v>
      </c>
      <c r="AA303" s="753">
        <f t="shared" si="181"/>
        <v>9488.52</v>
      </c>
      <c r="AB303" s="620">
        <f t="shared" si="185"/>
        <v>9034.970000000001</v>
      </c>
      <c r="AC303" s="624">
        <f t="shared" si="182"/>
        <v>91277.87999999999</v>
      </c>
      <c r="AD303" s="278">
        <f t="shared" si="183"/>
        <v>92591.02</v>
      </c>
      <c r="AE303" s="649">
        <f t="shared" si="184"/>
        <v>88935.67</v>
      </c>
    </row>
    <row r="304" spans="1:31" ht="18.75">
      <c r="A304" s="311" t="s">
        <v>54</v>
      </c>
      <c r="B304" s="74">
        <f t="shared" si="166"/>
        <v>57761.440000000366</v>
      </c>
      <c r="C304" s="1414">
        <v>37931.1</v>
      </c>
      <c r="D304" s="1433">
        <v>37931.81</v>
      </c>
      <c r="E304" s="74"/>
      <c r="F304" s="74">
        <f t="shared" si="173"/>
        <v>57760.73000000036</v>
      </c>
      <c r="G304" s="258">
        <f t="shared" si="167"/>
        <v>6193.270000000002</v>
      </c>
      <c r="H304" s="1076">
        <v>295.41</v>
      </c>
      <c r="I304" s="258">
        <v>3862.64</v>
      </c>
      <c r="J304" s="258">
        <f t="shared" si="174"/>
        <v>2626.0400000000022</v>
      </c>
      <c r="K304" s="78">
        <f t="shared" si="168"/>
        <v>0</v>
      </c>
      <c r="L304" s="1406"/>
      <c r="M304" s="108"/>
      <c r="N304" s="108">
        <f t="shared" si="175"/>
        <v>0</v>
      </c>
      <c r="O304" s="274">
        <f t="shared" si="169"/>
        <v>-1114.82</v>
      </c>
      <c r="P304" s="301">
        <v>31.15</v>
      </c>
      <c r="Q304" s="263"/>
      <c r="R304" s="263">
        <v>17.65</v>
      </c>
      <c r="S304" s="263">
        <f t="shared" si="176"/>
        <v>-1101.32</v>
      </c>
      <c r="T304" s="144">
        <f t="shared" si="177"/>
        <v>17.65</v>
      </c>
      <c r="U304" s="144">
        <f t="shared" si="178"/>
        <v>0</v>
      </c>
      <c r="V304" s="144">
        <f t="shared" si="179"/>
        <v>3862.64</v>
      </c>
      <c r="W304" s="188">
        <f t="shared" si="180"/>
        <v>3880.29</v>
      </c>
      <c r="X304" s="751">
        <f t="shared" si="170"/>
        <v>30.33</v>
      </c>
      <c r="Y304" s="752">
        <f t="shared" si="171"/>
        <v>0</v>
      </c>
      <c r="Z304" s="752">
        <f t="shared" si="172"/>
        <v>3862.64</v>
      </c>
      <c r="AA304" s="753">
        <f t="shared" si="181"/>
        <v>3892.97</v>
      </c>
      <c r="AB304" s="620">
        <f t="shared" si="185"/>
        <v>3862.64</v>
      </c>
      <c r="AC304" s="624">
        <f t="shared" si="182"/>
        <v>38257.66</v>
      </c>
      <c r="AD304" s="278">
        <f t="shared" si="183"/>
        <v>41812.1</v>
      </c>
      <c r="AE304" s="649">
        <f t="shared" si="184"/>
        <v>37949.46</v>
      </c>
    </row>
    <row r="305" spans="1:31" ht="18.75">
      <c r="A305" s="311" t="s">
        <v>49</v>
      </c>
      <c r="B305" s="74">
        <f t="shared" si="166"/>
        <v>211435.83000000016</v>
      </c>
      <c r="C305" s="1414">
        <v>80671.41</v>
      </c>
      <c r="D305" s="1433">
        <v>79567.79</v>
      </c>
      <c r="E305" s="74"/>
      <c r="F305" s="74">
        <f t="shared" si="173"/>
        <v>212539.4500000002</v>
      </c>
      <c r="G305" s="258">
        <f t="shared" si="167"/>
        <v>17079.220000000005</v>
      </c>
      <c r="H305" s="1076">
        <v>922.12</v>
      </c>
      <c r="I305" s="258">
        <v>9807.12</v>
      </c>
      <c r="J305" s="258">
        <f t="shared" si="174"/>
        <v>8194.220000000003</v>
      </c>
      <c r="K305" s="78">
        <f t="shared" si="168"/>
        <v>6739.620000000003</v>
      </c>
      <c r="L305" s="1406">
        <f>319.93+3698.03</f>
        <v>4017.96</v>
      </c>
      <c r="M305" s="625">
        <v>3411.59</v>
      </c>
      <c r="N305" s="108">
        <f t="shared" si="175"/>
        <v>7345.990000000002</v>
      </c>
      <c r="O305" s="274">
        <f t="shared" si="169"/>
        <v>-804.1000000000001</v>
      </c>
      <c r="P305" s="301">
        <v>314.54</v>
      </c>
      <c r="Q305" s="263"/>
      <c r="R305" s="263">
        <v>310.22</v>
      </c>
      <c r="S305" s="263">
        <f t="shared" si="176"/>
        <v>-799.7800000000002</v>
      </c>
      <c r="T305" s="144">
        <f t="shared" si="177"/>
        <v>310.22</v>
      </c>
      <c r="U305" s="144">
        <f t="shared" si="178"/>
        <v>3411.59</v>
      </c>
      <c r="V305" s="144">
        <f t="shared" si="179"/>
        <v>9807.12</v>
      </c>
      <c r="W305" s="188">
        <f t="shared" si="180"/>
        <v>13528.93</v>
      </c>
      <c r="X305" s="751">
        <f t="shared" si="170"/>
        <v>867.6500000000001</v>
      </c>
      <c r="Y305" s="752">
        <f t="shared" si="171"/>
        <v>8458.11</v>
      </c>
      <c r="Z305" s="752">
        <f t="shared" si="172"/>
        <v>9807.12</v>
      </c>
      <c r="AA305" s="753">
        <f t="shared" si="181"/>
        <v>19132.88</v>
      </c>
      <c r="AB305" s="620">
        <f t="shared" si="185"/>
        <v>18265.230000000003</v>
      </c>
      <c r="AC305" s="624">
        <f t="shared" si="182"/>
        <v>85926.03</v>
      </c>
      <c r="AD305" s="278">
        <f t="shared" si="183"/>
        <v>93096.71999999999</v>
      </c>
      <c r="AE305" s="649">
        <f t="shared" si="184"/>
        <v>79878.01</v>
      </c>
    </row>
    <row r="306" spans="1:31" ht="18.75">
      <c r="A306" s="73" t="s">
        <v>19</v>
      </c>
      <c r="B306" s="74">
        <f t="shared" si="166"/>
        <v>99569.90999999995</v>
      </c>
      <c r="C306" s="1414">
        <v>59520.68</v>
      </c>
      <c r="D306" s="1433">
        <v>53198.92</v>
      </c>
      <c r="E306" s="74"/>
      <c r="F306" s="74">
        <f t="shared" si="173"/>
        <v>105891.66999999994</v>
      </c>
      <c r="G306" s="258">
        <f t="shared" si="167"/>
        <v>7859.689999999997</v>
      </c>
      <c r="H306" s="1076">
        <v>402.45</v>
      </c>
      <c r="I306" s="258">
        <v>4280.28</v>
      </c>
      <c r="J306" s="258">
        <f t="shared" si="174"/>
        <v>3981.859999999998</v>
      </c>
      <c r="K306" s="78">
        <f t="shared" si="168"/>
        <v>1194.5600000000013</v>
      </c>
      <c r="L306" s="1406">
        <v>1175.67</v>
      </c>
      <c r="M306" s="625">
        <v>833.61</v>
      </c>
      <c r="N306" s="108">
        <f t="shared" si="175"/>
        <v>1536.6200000000013</v>
      </c>
      <c r="O306" s="274">
        <f t="shared" si="169"/>
        <v>-104.80999999999963</v>
      </c>
      <c r="P306" s="301">
        <v>40.13</v>
      </c>
      <c r="Q306" s="263"/>
      <c r="R306" s="263">
        <v>34.17</v>
      </c>
      <c r="S306" s="263">
        <f t="shared" si="176"/>
        <v>-98.84999999999964</v>
      </c>
      <c r="T306" s="144">
        <f t="shared" si="177"/>
        <v>34.17</v>
      </c>
      <c r="U306" s="799">
        <f t="shared" si="178"/>
        <v>833.61</v>
      </c>
      <c r="V306" s="144">
        <f t="shared" si="179"/>
        <v>4280.28</v>
      </c>
      <c r="W306" s="188">
        <f t="shared" si="180"/>
        <v>5148.0599999999995</v>
      </c>
      <c r="X306" s="751">
        <f t="shared" si="170"/>
        <v>133.53</v>
      </c>
      <c r="Y306" s="752">
        <f t="shared" si="171"/>
        <v>3947.4</v>
      </c>
      <c r="Z306" s="752">
        <f t="shared" si="172"/>
        <v>4280.28</v>
      </c>
      <c r="AA306" s="753">
        <f t="shared" si="181"/>
        <v>8361.21</v>
      </c>
      <c r="AB306" s="620">
        <f t="shared" si="185"/>
        <v>8227.68</v>
      </c>
      <c r="AC306" s="624">
        <f t="shared" si="182"/>
        <v>61138.92999999999</v>
      </c>
      <c r="AD306" s="278">
        <f t="shared" si="183"/>
        <v>58346.979999999996</v>
      </c>
      <c r="AE306" s="649">
        <f t="shared" si="184"/>
        <v>53233.09</v>
      </c>
    </row>
    <row r="307" spans="1:31" ht="18.75">
      <c r="A307" s="311" t="s">
        <v>20</v>
      </c>
      <c r="B307" s="74">
        <f t="shared" si="166"/>
        <v>70503.5100000001</v>
      </c>
      <c r="C307" s="1414">
        <v>38671.41</v>
      </c>
      <c r="D307" s="1433">
        <v>38612.31</v>
      </c>
      <c r="E307" s="74"/>
      <c r="F307" s="74">
        <f t="shared" si="173"/>
        <v>70562.6100000001</v>
      </c>
      <c r="G307" s="258">
        <f t="shared" si="167"/>
        <v>0</v>
      </c>
      <c r="H307" s="603"/>
      <c r="I307" s="258"/>
      <c r="J307" s="258">
        <f t="shared" si="174"/>
        <v>0</v>
      </c>
      <c r="K307" s="78">
        <f t="shared" si="168"/>
        <v>1788.269999999999</v>
      </c>
      <c r="L307" s="1418">
        <v>777.4</v>
      </c>
      <c r="M307" s="183">
        <v>1554.8</v>
      </c>
      <c r="N307" s="108">
        <f t="shared" si="175"/>
        <v>1010.8699999999992</v>
      </c>
      <c r="O307" s="274">
        <f t="shared" si="169"/>
        <v>111.91999999999994</v>
      </c>
      <c r="P307" s="301">
        <v>47.46</v>
      </c>
      <c r="Q307" s="263"/>
      <c r="R307" s="263">
        <v>47.46</v>
      </c>
      <c r="S307" s="263">
        <f t="shared" si="176"/>
        <v>111.91999999999993</v>
      </c>
      <c r="T307" s="144">
        <f t="shared" si="177"/>
        <v>47.46</v>
      </c>
      <c r="U307" s="144">
        <f t="shared" si="178"/>
        <v>1554.8</v>
      </c>
      <c r="V307" s="144">
        <f t="shared" si="179"/>
        <v>0</v>
      </c>
      <c r="W307" s="188">
        <f t="shared" si="180"/>
        <v>1602.26</v>
      </c>
      <c r="X307" s="751">
        <f t="shared" si="170"/>
        <v>140.15</v>
      </c>
      <c r="Y307" s="752">
        <f t="shared" si="171"/>
        <v>3109.6</v>
      </c>
      <c r="Z307" s="752">
        <f t="shared" si="172"/>
        <v>0</v>
      </c>
      <c r="AA307" s="753">
        <f t="shared" si="181"/>
        <v>3249.75</v>
      </c>
      <c r="AB307" s="620">
        <f t="shared" si="185"/>
        <v>3109.6</v>
      </c>
      <c r="AC307" s="624">
        <f t="shared" si="182"/>
        <v>39496.270000000004</v>
      </c>
      <c r="AD307" s="278">
        <f t="shared" si="183"/>
        <v>40214.57</v>
      </c>
      <c r="AE307" s="649">
        <f t="shared" si="184"/>
        <v>38659.77</v>
      </c>
    </row>
    <row r="308" spans="1:31" ht="18.75">
      <c r="A308" s="311" t="s">
        <v>137</v>
      </c>
      <c r="B308" s="74">
        <f t="shared" si="166"/>
        <v>-445117.3200000004</v>
      </c>
      <c r="C308" s="1414">
        <v>47606.78</v>
      </c>
      <c r="D308" s="1433">
        <v>45899.7</v>
      </c>
      <c r="E308" s="74"/>
      <c r="F308" s="74">
        <f t="shared" si="173"/>
        <v>-443410.2400000004</v>
      </c>
      <c r="G308" s="258">
        <f t="shared" si="167"/>
        <v>2122.33</v>
      </c>
      <c r="H308" s="359">
        <v>303.19</v>
      </c>
      <c r="I308" s="258">
        <v>3224.52</v>
      </c>
      <c r="J308" s="258">
        <f t="shared" si="174"/>
        <v>-799</v>
      </c>
      <c r="K308" s="78">
        <f t="shared" si="168"/>
        <v>0</v>
      </c>
      <c r="L308" s="1419"/>
      <c r="M308" s="626"/>
      <c r="N308" s="108">
        <f t="shared" si="175"/>
        <v>0</v>
      </c>
      <c r="O308" s="274">
        <f t="shared" si="169"/>
        <v>-43.140000000000015</v>
      </c>
      <c r="P308" s="301">
        <v>38.34</v>
      </c>
      <c r="Q308" s="263"/>
      <c r="R308" s="263">
        <v>46.9</v>
      </c>
      <c r="S308" s="263">
        <f t="shared" si="176"/>
        <v>-51.70000000000001</v>
      </c>
      <c r="T308" s="144">
        <f t="shared" si="177"/>
        <v>46.9</v>
      </c>
      <c r="U308" s="144">
        <f t="shared" si="178"/>
        <v>0</v>
      </c>
      <c r="V308" s="144">
        <f t="shared" si="179"/>
        <v>3224.52</v>
      </c>
      <c r="W308" s="188">
        <f t="shared" si="180"/>
        <v>3271.42</v>
      </c>
      <c r="X308" s="751">
        <f t="shared" si="170"/>
        <v>119.31</v>
      </c>
      <c r="Y308" s="752">
        <f t="shared" si="171"/>
        <v>2369.88</v>
      </c>
      <c r="Z308" s="752">
        <f t="shared" si="172"/>
        <v>3224.52</v>
      </c>
      <c r="AA308" s="753">
        <f t="shared" si="181"/>
        <v>5713.71</v>
      </c>
      <c r="AB308" s="620">
        <f t="shared" si="185"/>
        <v>5594.4</v>
      </c>
      <c r="AC308" s="624">
        <f t="shared" si="182"/>
        <v>47948.31</v>
      </c>
      <c r="AD308" s="278">
        <f t="shared" si="183"/>
        <v>49171.119999999995</v>
      </c>
      <c r="AE308" s="649">
        <f t="shared" si="184"/>
        <v>45946.6</v>
      </c>
    </row>
    <row r="309" spans="1:31" ht="18.75">
      <c r="A309" s="311" t="s">
        <v>124</v>
      </c>
      <c r="B309" s="74">
        <f t="shared" si="166"/>
        <v>21616.89999999993</v>
      </c>
      <c r="C309" s="1414">
        <v>16815.18</v>
      </c>
      <c r="D309" s="1433">
        <v>16798.86</v>
      </c>
      <c r="E309" s="74"/>
      <c r="F309" s="74">
        <f t="shared" si="173"/>
        <v>21633.21999999993</v>
      </c>
      <c r="G309" s="258">
        <f t="shared" si="167"/>
        <v>0</v>
      </c>
      <c r="H309" s="604"/>
      <c r="I309" s="258"/>
      <c r="J309" s="258">
        <f t="shared" si="174"/>
        <v>0</v>
      </c>
      <c r="K309" s="78">
        <f t="shared" si="168"/>
        <v>0</v>
      </c>
      <c r="L309" s="1407"/>
      <c r="M309" s="257"/>
      <c r="N309" s="108">
        <f t="shared" si="175"/>
        <v>0</v>
      </c>
      <c r="O309" s="274">
        <f t="shared" si="169"/>
        <v>-9.360000000000007</v>
      </c>
      <c r="P309" s="301">
        <v>149.66</v>
      </c>
      <c r="Q309" s="263"/>
      <c r="R309" s="263">
        <v>142.97</v>
      </c>
      <c r="S309" s="263">
        <f t="shared" si="176"/>
        <v>-2.670000000000016</v>
      </c>
      <c r="T309" s="144">
        <f t="shared" si="177"/>
        <v>142.97</v>
      </c>
      <c r="U309" s="144">
        <f t="shared" si="178"/>
        <v>0</v>
      </c>
      <c r="V309" s="144">
        <f t="shared" si="179"/>
        <v>0</v>
      </c>
      <c r="W309" s="188">
        <f t="shared" si="180"/>
        <v>142.97</v>
      </c>
      <c r="X309" s="751">
        <f t="shared" si="170"/>
        <v>166.75</v>
      </c>
      <c r="Y309" s="752">
        <f t="shared" si="171"/>
        <v>0</v>
      </c>
      <c r="Z309" s="752">
        <f t="shared" si="172"/>
        <v>0</v>
      </c>
      <c r="AA309" s="753">
        <f t="shared" si="181"/>
        <v>166.75</v>
      </c>
      <c r="AB309" s="620">
        <f t="shared" si="185"/>
        <v>0</v>
      </c>
      <c r="AC309" s="624">
        <f t="shared" si="182"/>
        <v>16964.84</v>
      </c>
      <c r="AD309" s="278">
        <f t="shared" si="183"/>
        <v>16941.83</v>
      </c>
      <c r="AE309" s="649">
        <f t="shared" si="184"/>
        <v>16941.83</v>
      </c>
    </row>
    <row r="310" spans="1:31" ht="18.75">
      <c r="A310" s="708" t="s">
        <v>188</v>
      </c>
      <c r="B310" s="74">
        <f t="shared" si="166"/>
        <v>18340.39999999995</v>
      </c>
      <c r="C310" s="1414">
        <v>44632.29</v>
      </c>
      <c r="D310" s="1433">
        <v>41034.99</v>
      </c>
      <c r="E310" s="74"/>
      <c r="F310" s="74">
        <f t="shared" si="173"/>
        <v>21937.699999999953</v>
      </c>
      <c r="G310" s="258">
        <f t="shared" si="167"/>
        <v>5387.379999999999</v>
      </c>
      <c r="H310" s="1079">
        <v>382.12</v>
      </c>
      <c r="I310" s="258">
        <v>4408.01</v>
      </c>
      <c r="J310" s="258">
        <f t="shared" si="174"/>
        <v>1361.4899999999989</v>
      </c>
      <c r="K310" s="78">
        <f t="shared" si="168"/>
        <v>-56847.509999999995</v>
      </c>
      <c r="L310" s="1407">
        <v>2463.16</v>
      </c>
      <c r="M310" s="625">
        <v>2057.12</v>
      </c>
      <c r="N310" s="108">
        <f t="shared" si="175"/>
        <v>-56441.469999999994</v>
      </c>
      <c r="O310" s="274">
        <f t="shared" si="169"/>
        <v>-4849.38</v>
      </c>
      <c r="P310" s="301">
        <v>69.19</v>
      </c>
      <c r="Q310" s="263"/>
      <c r="R310" s="263">
        <v>68.8</v>
      </c>
      <c r="S310" s="263">
        <f t="shared" si="176"/>
        <v>-4848.990000000001</v>
      </c>
      <c r="T310" s="144">
        <f t="shared" si="177"/>
        <v>68.8</v>
      </c>
      <c r="U310" s="144">
        <f t="shared" si="178"/>
        <v>2057.12</v>
      </c>
      <c r="V310" s="144">
        <f t="shared" si="179"/>
        <v>4408.01</v>
      </c>
      <c r="W310" s="188">
        <f t="shared" si="180"/>
        <v>6533.93</v>
      </c>
      <c r="X310" s="751">
        <f t="shared" si="170"/>
        <v>181.2</v>
      </c>
      <c r="Y310" s="752">
        <f t="shared" si="171"/>
        <v>7114.24</v>
      </c>
      <c r="Z310" s="752">
        <f t="shared" si="172"/>
        <v>4408.01</v>
      </c>
      <c r="AA310" s="753">
        <f t="shared" si="181"/>
        <v>11703.45</v>
      </c>
      <c r="AB310" s="620">
        <f>Y310+Z310</f>
        <v>11522.25</v>
      </c>
      <c r="AC310" s="624">
        <f t="shared" si="182"/>
        <v>47546.76000000001</v>
      </c>
      <c r="AD310" s="278">
        <f t="shared" si="183"/>
        <v>47568.920000000006</v>
      </c>
      <c r="AE310" s="649">
        <f t="shared" si="184"/>
        <v>41103.79</v>
      </c>
    </row>
    <row r="311" spans="1:31" ht="18.75">
      <c r="A311" s="709" t="s">
        <v>189</v>
      </c>
      <c r="B311" s="74">
        <f t="shared" si="166"/>
        <v>66565.78000000006</v>
      </c>
      <c r="C311" s="1414">
        <v>51798.79</v>
      </c>
      <c r="D311" s="1433">
        <v>53507.23</v>
      </c>
      <c r="E311" s="74"/>
      <c r="F311" s="74">
        <f t="shared" si="173"/>
        <v>64857.34000000006</v>
      </c>
      <c r="G311" s="258">
        <f t="shared" si="167"/>
        <v>23011.24</v>
      </c>
      <c r="H311" s="1079">
        <v>2127.68</v>
      </c>
      <c r="I311" s="258">
        <v>17299.2</v>
      </c>
      <c r="J311" s="258">
        <f t="shared" si="174"/>
        <v>7839.720000000001</v>
      </c>
      <c r="K311" s="78">
        <f t="shared" si="168"/>
        <v>-16177.52</v>
      </c>
      <c r="L311" s="1407">
        <v>3945.6</v>
      </c>
      <c r="M311" s="1113">
        <v>1582.3</v>
      </c>
      <c r="N311" s="108">
        <f t="shared" si="175"/>
        <v>-13814.22</v>
      </c>
      <c r="O311" s="274">
        <f t="shared" si="169"/>
        <v>-48723.609999999986</v>
      </c>
      <c r="P311" s="301">
        <v>154.33</v>
      </c>
      <c r="Q311" s="263"/>
      <c r="R311" s="263">
        <f>183.27+203.12</f>
        <v>386.39</v>
      </c>
      <c r="S311" s="263">
        <f t="shared" si="176"/>
        <v>-48955.669999999984</v>
      </c>
      <c r="T311" s="144">
        <f t="shared" si="177"/>
        <v>386.39</v>
      </c>
      <c r="U311" s="144">
        <f t="shared" si="178"/>
        <v>1582.3</v>
      </c>
      <c r="V311" s="144">
        <f t="shared" si="179"/>
        <v>17299.2</v>
      </c>
      <c r="W311" s="188">
        <f t="shared" si="180"/>
        <v>19267.89</v>
      </c>
      <c r="X311" s="751">
        <f t="shared" si="170"/>
        <v>1336.6799999999998</v>
      </c>
      <c r="Y311" s="752">
        <f t="shared" si="171"/>
        <v>5529.09</v>
      </c>
      <c r="Z311" s="752">
        <f t="shared" si="172"/>
        <v>17299.2</v>
      </c>
      <c r="AA311" s="753">
        <f t="shared" si="181"/>
        <v>24164.97</v>
      </c>
      <c r="AB311" s="620">
        <f t="shared" si="185"/>
        <v>22828.29</v>
      </c>
      <c r="AC311" s="624">
        <f t="shared" si="182"/>
        <v>58026.4</v>
      </c>
      <c r="AD311" s="278">
        <f t="shared" si="183"/>
        <v>72775.12000000001</v>
      </c>
      <c r="AE311" s="649">
        <f t="shared" si="184"/>
        <v>53893.62</v>
      </c>
    </row>
    <row r="312" spans="1:31" ht="18.75">
      <c r="A312" s="709" t="s">
        <v>251</v>
      </c>
      <c r="B312" s="74">
        <f t="shared" si="166"/>
        <v>106327.43000000004</v>
      </c>
      <c r="C312" s="1414">
        <v>47756.29</v>
      </c>
      <c r="D312" s="1433">
        <v>45209.18</v>
      </c>
      <c r="E312" s="74"/>
      <c r="F312" s="74">
        <f t="shared" si="173"/>
        <v>108874.54000000004</v>
      </c>
      <c r="G312" s="258">
        <f t="shared" si="167"/>
        <v>0</v>
      </c>
      <c r="H312" s="604"/>
      <c r="I312" s="258"/>
      <c r="J312" s="258">
        <f t="shared" si="174"/>
        <v>0</v>
      </c>
      <c r="K312" s="78">
        <f t="shared" si="168"/>
        <v>-62945.81</v>
      </c>
      <c r="L312" s="1407"/>
      <c r="M312" s="481"/>
      <c r="N312" s="108">
        <f t="shared" si="175"/>
        <v>-62945.81</v>
      </c>
      <c r="O312" s="274">
        <f t="shared" si="169"/>
        <v>-60564.170000000006</v>
      </c>
      <c r="P312" s="301">
        <v>41.26</v>
      </c>
      <c r="Q312" s="263"/>
      <c r="R312" s="263">
        <v>30.58</v>
      </c>
      <c r="S312" s="263">
        <f t="shared" si="176"/>
        <v>-60553.490000000005</v>
      </c>
      <c r="T312" s="144">
        <f t="shared" si="177"/>
        <v>30.58</v>
      </c>
      <c r="U312" s="144">
        <f t="shared" si="178"/>
        <v>0</v>
      </c>
      <c r="V312" s="144">
        <f t="shared" si="179"/>
        <v>0</v>
      </c>
      <c r="W312" s="188">
        <f t="shared" si="180"/>
        <v>30.58</v>
      </c>
      <c r="X312" s="751">
        <f t="shared" si="170"/>
        <v>136.45</v>
      </c>
      <c r="Y312" s="752">
        <f t="shared" si="171"/>
        <v>2174.33</v>
      </c>
      <c r="Z312" s="752">
        <f t="shared" si="172"/>
        <v>0</v>
      </c>
      <c r="AA312" s="753">
        <f t="shared" si="181"/>
        <v>2310.7799999999997</v>
      </c>
      <c r="AB312" s="620">
        <f t="shared" si="185"/>
        <v>2174.33</v>
      </c>
      <c r="AC312" s="624">
        <f t="shared" si="182"/>
        <v>47797.55</v>
      </c>
      <c r="AD312" s="278">
        <f t="shared" si="183"/>
        <v>45239.76</v>
      </c>
      <c r="AE312" s="649">
        <f t="shared" si="184"/>
        <v>45239.76</v>
      </c>
    </row>
    <row r="313" spans="1:31" ht="18.75">
      <c r="A313" s="709" t="s">
        <v>252</v>
      </c>
      <c r="B313" s="74">
        <f t="shared" si="166"/>
        <v>33379.12000000001</v>
      </c>
      <c r="C313" s="1414">
        <v>17768.29</v>
      </c>
      <c r="D313" s="1433">
        <v>18562.58</v>
      </c>
      <c r="E313" s="74"/>
      <c r="F313" s="74">
        <f t="shared" si="173"/>
        <v>32584.83000000001</v>
      </c>
      <c r="G313" s="258">
        <f t="shared" si="167"/>
        <v>0</v>
      </c>
      <c r="H313" s="604"/>
      <c r="I313" s="258"/>
      <c r="J313" s="258">
        <f t="shared" si="174"/>
        <v>0</v>
      </c>
      <c r="K313" s="78">
        <f t="shared" si="168"/>
        <v>0</v>
      </c>
      <c r="L313" s="1407"/>
      <c r="M313" s="481"/>
      <c r="N313" s="108">
        <f t="shared" si="175"/>
        <v>0</v>
      </c>
      <c r="O313" s="274">
        <f t="shared" si="169"/>
        <v>-3719.03</v>
      </c>
      <c r="P313" s="301">
        <v>110.68</v>
      </c>
      <c r="Q313" s="263"/>
      <c r="R313" s="263">
        <v>113.72</v>
      </c>
      <c r="S313" s="263">
        <f t="shared" si="176"/>
        <v>-3722.07</v>
      </c>
      <c r="T313" s="144">
        <f t="shared" si="177"/>
        <v>113.72</v>
      </c>
      <c r="U313" s="144">
        <f t="shared" si="178"/>
        <v>0</v>
      </c>
      <c r="V313" s="144">
        <f t="shared" si="179"/>
        <v>0</v>
      </c>
      <c r="W313" s="188">
        <f t="shared" si="180"/>
        <v>113.72</v>
      </c>
      <c r="X313" s="751">
        <f t="shared" si="170"/>
        <v>269.03</v>
      </c>
      <c r="Y313" s="752">
        <f t="shared" si="171"/>
        <v>0</v>
      </c>
      <c r="Z313" s="752">
        <f t="shared" si="172"/>
        <v>0</v>
      </c>
      <c r="AA313" s="753">
        <f t="shared" si="181"/>
        <v>269.03</v>
      </c>
      <c r="AB313" s="620">
        <f t="shared" si="185"/>
        <v>0</v>
      </c>
      <c r="AC313" s="624">
        <f t="shared" si="182"/>
        <v>17878.97</v>
      </c>
      <c r="AD313" s="278">
        <f t="shared" si="183"/>
        <v>18676.300000000003</v>
      </c>
      <c r="AE313" s="649">
        <f t="shared" si="184"/>
        <v>18676.300000000003</v>
      </c>
    </row>
    <row r="314" spans="1:31" ht="18.75">
      <c r="A314" s="709" t="s">
        <v>301</v>
      </c>
      <c r="B314" s="74">
        <f t="shared" si="166"/>
        <v>299405.1799999998</v>
      </c>
      <c r="C314" s="1414">
        <v>62669.36</v>
      </c>
      <c r="D314" s="1433">
        <v>77980.41</v>
      </c>
      <c r="E314" s="74"/>
      <c r="F314" s="74">
        <f t="shared" si="173"/>
        <v>284094.1299999998</v>
      </c>
      <c r="G314" s="258">
        <f t="shared" si="167"/>
        <v>0</v>
      </c>
      <c r="H314" s="1097"/>
      <c r="I314" s="258"/>
      <c r="J314" s="258">
        <f t="shared" si="174"/>
        <v>0</v>
      </c>
      <c r="K314" s="78">
        <f t="shared" si="168"/>
        <v>0</v>
      </c>
      <c r="L314" s="1420">
        <v>1889.09</v>
      </c>
      <c r="M314" s="1113">
        <v>1889.09</v>
      </c>
      <c r="N314" s="108">
        <f t="shared" si="175"/>
        <v>0</v>
      </c>
      <c r="O314" s="274">
        <f t="shared" si="169"/>
        <v>-2644.88</v>
      </c>
      <c r="P314" s="301">
        <v>364.29</v>
      </c>
      <c r="Q314" s="263"/>
      <c r="R314" s="263">
        <f>364.08+2140.28</f>
        <v>2504.36</v>
      </c>
      <c r="S314" s="263">
        <f t="shared" si="176"/>
        <v>-4784.950000000001</v>
      </c>
      <c r="T314" s="144">
        <f t="shared" si="177"/>
        <v>2504.36</v>
      </c>
      <c r="U314" s="144">
        <f t="shared" si="178"/>
        <v>1889.09</v>
      </c>
      <c r="V314" s="144">
        <f t="shared" si="179"/>
        <v>0</v>
      </c>
      <c r="W314" s="188">
        <f t="shared" si="180"/>
        <v>4393.45</v>
      </c>
      <c r="X314" s="751">
        <f t="shared" si="170"/>
        <v>6312.120000000001</v>
      </c>
      <c r="Y314" s="752">
        <f t="shared" si="171"/>
        <v>5667.2699999999995</v>
      </c>
      <c r="Z314" s="752">
        <f t="shared" si="172"/>
        <v>0</v>
      </c>
      <c r="AA314" s="753">
        <f t="shared" si="181"/>
        <v>11979.39</v>
      </c>
      <c r="AB314" s="620">
        <f t="shared" si="185"/>
        <v>5667.2699999999995</v>
      </c>
      <c r="AC314" s="624">
        <f t="shared" si="182"/>
        <v>64922.74</v>
      </c>
      <c r="AD314" s="278">
        <f t="shared" si="183"/>
        <v>82373.86</v>
      </c>
      <c r="AE314" s="649">
        <f t="shared" si="184"/>
        <v>80484.77</v>
      </c>
    </row>
    <row r="315" spans="1:31" ht="18.75">
      <c r="A315" s="709" t="s">
        <v>316</v>
      </c>
      <c r="B315" s="74">
        <f t="shared" si="166"/>
        <v>240034.9499999999</v>
      </c>
      <c r="C315" s="1414">
        <v>63992.51</v>
      </c>
      <c r="D315" s="1433">
        <v>73643.25</v>
      </c>
      <c r="E315" s="74"/>
      <c r="F315" s="74">
        <f t="shared" si="173"/>
        <v>230384.2099999999</v>
      </c>
      <c r="G315" s="258">
        <f t="shared" si="167"/>
        <v>0</v>
      </c>
      <c r="H315" s="1098"/>
      <c r="I315" s="258"/>
      <c r="J315" s="258">
        <f t="shared" si="174"/>
        <v>0</v>
      </c>
      <c r="K315" s="78">
        <f t="shared" si="168"/>
        <v>1109.8900000000003</v>
      </c>
      <c r="L315" s="1406">
        <v>6247.31</v>
      </c>
      <c r="M315" s="606">
        <v>5965.05</v>
      </c>
      <c r="N315" s="108">
        <f t="shared" si="175"/>
        <v>1392.1500000000005</v>
      </c>
      <c r="O315" s="274">
        <f t="shared" si="169"/>
        <v>-8047.52</v>
      </c>
      <c r="P315" s="301">
        <v>1033.68</v>
      </c>
      <c r="Q315" s="263"/>
      <c r="R315" s="263">
        <f>929.18+3073.87</f>
        <v>4003.0499999999997</v>
      </c>
      <c r="S315" s="263">
        <f t="shared" si="176"/>
        <v>-11016.89</v>
      </c>
      <c r="T315" s="144">
        <f t="shared" si="177"/>
        <v>4003.0499999999997</v>
      </c>
      <c r="U315" s="144">
        <f t="shared" si="178"/>
        <v>5965.05</v>
      </c>
      <c r="V315" s="144">
        <f t="shared" si="179"/>
        <v>0</v>
      </c>
      <c r="W315" s="188">
        <f t="shared" si="180"/>
        <v>9968.1</v>
      </c>
      <c r="X315" s="751">
        <f>T315</f>
        <v>4003.0499999999997</v>
      </c>
      <c r="Y315" s="752">
        <f t="shared" si="171"/>
        <v>17349.78</v>
      </c>
      <c r="Z315" s="752">
        <f>V252+V284+V315</f>
        <v>0</v>
      </c>
      <c r="AA315" s="753">
        <f>X315+Y315+Z315</f>
        <v>21352.829999999998</v>
      </c>
      <c r="AB315" s="620">
        <f t="shared" si="185"/>
        <v>17349.78</v>
      </c>
      <c r="AC315" s="624">
        <f t="shared" si="182"/>
        <v>71273.5</v>
      </c>
      <c r="AD315" s="278">
        <f t="shared" si="183"/>
        <v>83611.35</v>
      </c>
      <c r="AE315" s="649">
        <f t="shared" si="184"/>
        <v>77646.3</v>
      </c>
    </row>
    <row r="316" spans="1:31" ht="25.5">
      <c r="A316" s="1361" t="s">
        <v>127</v>
      </c>
      <c r="B316" s="1362">
        <f>SUM(B289:B315)</f>
        <v>2276787.000000001</v>
      </c>
      <c r="C316" s="1362">
        <f>SUM(C289:C315)</f>
        <v>1072439.7400000002</v>
      </c>
      <c r="D316" s="1434">
        <f>SUM(D289:D315)</f>
        <v>1073624.4</v>
      </c>
      <c r="E316" s="1362"/>
      <c r="F316" s="1362">
        <f>SUM(F289:F315)</f>
        <v>2275602.3400000017</v>
      </c>
      <c r="G316" s="1362">
        <f>SUM(G289:G315)</f>
        <v>196064.01999999993</v>
      </c>
      <c r="H316" s="1364">
        <f>SUM(H289:H315)</f>
        <v>10373.919999999998</v>
      </c>
      <c r="I316" s="1364">
        <f>SUM(I289:I315)</f>
        <v>128387.05999999998</v>
      </c>
      <c r="J316" s="1358">
        <f t="shared" si="174"/>
        <v>78050.87999999996</v>
      </c>
      <c r="K316" s="1358">
        <f aca="true" t="shared" si="186" ref="K316:P316">SUM(K289:K315)</f>
        <v>-103597.89999999998</v>
      </c>
      <c r="L316" s="1358">
        <f t="shared" si="186"/>
        <v>39260.38999999999</v>
      </c>
      <c r="M316" s="1364">
        <f t="shared" si="186"/>
        <v>36192.94</v>
      </c>
      <c r="N316" s="1358">
        <f t="shared" si="186"/>
        <v>-100530.44999999998</v>
      </c>
      <c r="O316" s="1358">
        <f t="shared" si="186"/>
        <v>-131808.25999999998</v>
      </c>
      <c r="P316" s="1435">
        <f t="shared" si="186"/>
        <v>3341.1100000000006</v>
      </c>
      <c r="Q316" s="1364"/>
      <c r="R316" s="1436">
        <f>SUM(R289:R315)</f>
        <v>8737.199999999999</v>
      </c>
      <c r="S316" s="1358">
        <f>SUM(S289:S315)</f>
        <v>-137204.34999999998</v>
      </c>
      <c r="T316" s="1358">
        <f>SUM(T289:T315)</f>
        <v>8737.199999999999</v>
      </c>
      <c r="U316" s="1358">
        <f>SUM(U289:U315)</f>
        <v>36192.94</v>
      </c>
      <c r="V316" s="1358">
        <f>SUM(V289:V315)</f>
        <v>128387.05999999998</v>
      </c>
      <c r="W316" s="1364">
        <f t="shared" si="180"/>
        <v>173317.19999999998</v>
      </c>
      <c r="X316" s="1362">
        <f aca="true" t="shared" si="187" ref="X316:AE316">SUM(X289:X315)</f>
        <v>16576.15</v>
      </c>
      <c r="Y316" s="1362">
        <f t="shared" si="187"/>
        <v>104149.91000000002</v>
      </c>
      <c r="Z316" s="1362">
        <f t="shared" si="187"/>
        <v>128387.05999999998</v>
      </c>
      <c r="AA316" s="1362">
        <f t="shared" si="187"/>
        <v>249113.11999999997</v>
      </c>
      <c r="AB316" s="1421">
        <f t="shared" si="187"/>
        <v>232536.97</v>
      </c>
      <c r="AC316" s="1109">
        <f t="shared" si="187"/>
        <v>1125415.1600000001</v>
      </c>
      <c r="AD316" s="1110">
        <f t="shared" si="187"/>
        <v>1246941.6</v>
      </c>
      <c r="AE316" s="1109">
        <f t="shared" si="187"/>
        <v>1082361.6</v>
      </c>
    </row>
    <row r="317" spans="16:31" ht="18.75">
      <c r="P317" s="68"/>
      <c r="Q317" s="68"/>
      <c r="R317" s="68"/>
      <c r="W317" s="39"/>
      <c r="Z317" s="39"/>
      <c r="AC317" s="11"/>
      <c r="AD317" s="1099"/>
      <c r="AE317" s="11"/>
    </row>
    <row r="318" spans="29:31" ht="31.5" customHeight="1">
      <c r="AC318" s="11"/>
      <c r="AD318" s="11"/>
      <c r="AE318" s="11"/>
    </row>
    <row r="319" spans="1:20" ht="19.5" thickBot="1">
      <c r="A319" s="68"/>
      <c r="B319" s="69" t="s">
        <v>464</v>
      </c>
      <c r="C319" s="69"/>
      <c r="D319" s="69"/>
      <c r="E319" s="69"/>
      <c r="F319" s="68"/>
      <c r="G319" s="5"/>
      <c r="H319" s="4"/>
      <c r="I319" s="5"/>
      <c r="J319" s="240" t="s">
        <v>63</v>
      </c>
      <c r="K319" s="6"/>
      <c r="L319" s="5"/>
      <c r="O319" s="2"/>
      <c r="S319" s="240" t="s">
        <v>63</v>
      </c>
      <c r="T319" s="11"/>
    </row>
    <row r="320" spans="1:26" ht="18">
      <c r="A320" s="408" t="s">
        <v>138</v>
      </c>
      <c r="B320" s="1670" t="s">
        <v>221</v>
      </c>
      <c r="C320" s="1585" t="s">
        <v>2</v>
      </c>
      <c r="D320" s="1586"/>
      <c r="E320" s="1586"/>
      <c r="F320" s="1591"/>
      <c r="G320" s="85" t="s">
        <v>27</v>
      </c>
      <c r="H320" s="1594" t="s">
        <v>3</v>
      </c>
      <c r="I320" s="1595"/>
      <c r="J320" s="1596"/>
      <c r="K320" s="88" t="s">
        <v>27</v>
      </c>
      <c r="L320" s="1612" t="s">
        <v>4</v>
      </c>
      <c r="M320" s="1612"/>
      <c r="N320" s="1612"/>
      <c r="O320" s="84" t="s">
        <v>27</v>
      </c>
      <c r="P320" s="1613" t="s">
        <v>23</v>
      </c>
      <c r="Q320" s="1613"/>
      <c r="R320" s="1613"/>
      <c r="S320" s="1585"/>
      <c r="T320" s="1579" t="s">
        <v>465</v>
      </c>
      <c r="U320" s="1580"/>
      <c r="V320" s="1580"/>
      <c r="W320" s="1580"/>
      <c r="X320" s="59"/>
      <c r="Y320" s="59"/>
      <c r="Z320" s="576"/>
    </row>
    <row r="321" spans="1:29" ht="54.75" thickBot="1">
      <c r="A321" s="111" t="s">
        <v>1</v>
      </c>
      <c r="B321" s="1671"/>
      <c r="C321" s="81" t="s">
        <v>5</v>
      </c>
      <c r="D321" s="81" t="s">
        <v>6</v>
      </c>
      <c r="E321" s="81" t="s">
        <v>65</v>
      </c>
      <c r="F321" s="81" t="s">
        <v>220</v>
      </c>
      <c r="G321" s="86" t="s">
        <v>221</v>
      </c>
      <c r="H321" s="1201" t="s">
        <v>5</v>
      </c>
      <c r="I321" s="1201" t="s">
        <v>6</v>
      </c>
      <c r="J321" s="86" t="s">
        <v>222</v>
      </c>
      <c r="K321" s="1196" t="s">
        <v>221</v>
      </c>
      <c r="L321" s="1196" t="s">
        <v>5</v>
      </c>
      <c r="M321" s="1196" t="s">
        <v>6</v>
      </c>
      <c r="N321" s="1196" t="s">
        <v>223</v>
      </c>
      <c r="O321" s="1204" t="s">
        <v>221</v>
      </c>
      <c r="P321" s="1204" t="s">
        <v>5</v>
      </c>
      <c r="Q321" s="1204" t="s">
        <v>64</v>
      </c>
      <c r="R321" s="1204" t="s">
        <v>6</v>
      </c>
      <c r="S321" s="1197" t="s">
        <v>223</v>
      </c>
      <c r="T321" s="242" t="s">
        <v>111</v>
      </c>
      <c r="U321" s="185" t="s">
        <v>69</v>
      </c>
      <c r="V321" s="185" t="s">
        <v>95</v>
      </c>
      <c r="W321" s="294" t="s">
        <v>161</v>
      </c>
      <c r="X321" s="296" t="s">
        <v>112</v>
      </c>
      <c r="Y321" s="293" t="s">
        <v>110</v>
      </c>
      <c r="Z321" s="581" t="s">
        <v>162</v>
      </c>
      <c r="AA321" t="s">
        <v>481</v>
      </c>
      <c r="AB321" t="s">
        <v>482</v>
      </c>
      <c r="AC321" t="s">
        <v>88</v>
      </c>
    </row>
    <row r="322" spans="1:29" ht="21" customHeight="1">
      <c r="A322" s="431" t="s">
        <v>47</v>
      </c>
      <c r="B322" s="74">
        <f aca="true" t="shared" si="188" ref="B322:B348">F289</f>
        <v>116461.30999999994</v>
      </c>
      <c r="C322" s="446">
        <v>15347.67</v>
      </c>
      <c r="D322" s="446">
        <v>18334.36</v>
      </c>
      <c r="E322" s="72"/>
      <c r="F322" s="74">
        <f>B322+C322-D322</f>
        <v>113474.61999999995</v>
      </c>
      <c r="G322" s="1451">
        <f aca="true" t="shared" si="189" ref="G322:G348">J289</f>
        <v>12214.409999999982</v>
      </c>
      <c r="H322" s="1448">
        <v>1219.32</v>
      </c>
      <c r="I322" s="287">
        <f>10932.84+12220.74</f>
        <v>23153.58</v>
      </c>
      <c r="J322" s="1450">
        <f>G322+H322-I322</f>
        <v>-9719.85000000002</v>
      </c>
      <c r="K322" s="274">
        <f aca="true" t="shared" si="190" ref="K322:K348">N289</f>
        <v>-545.3099999999995</v>
      </c>
      <c r="L322" s="1352">
        <v>4819.88</v>
      </c>
      <c r="M322" s="1438">
        <v>4819.88</v>
      </c>
      <c r="N322" s="108">
        <f>K322+L322-M322</f>
        <v>-545.3099999999995</v>
      </c>
      <c r="O322" s="274">
        <f aca="true" t="shared" si="191" ref="O322:O348">S289</f>
        <v>-1518.53</v>
      </c>
      <c r="P322" s="543">
        <v>105.71</v>
      </c>
      <c r="Q322" s="422"/>
      <c r="R322" s="422">
        <v>97.99</v>
      </c>
      <c r="S322" s="1452">
        <f>O322+P322-R322</f>
        <v>-1510.81</v>
      </c>
      <c r="T322" s="800">
        <f>R322</f>
        <v>97.99</v>
      </c>
      <c r="U322" s="801">
        <f>M322</f>
        <v>4819.88</v>
      </c>
      <c r="V322" s="801">
        <f>I322</f>
        <v>23153.58</v>
      </c>
      <c r="W322" s="802">
        <f>T322+U322+V322</f>
        <v>28071.45</v>
      </c>
      <c r="X322" s="295">
        <f>C322+H322+L322+P322</f>
        <v>21492.58</v>
      </c>
      <c r="Y322" s="292">
        <f>D322+I322+M322+R322</f>
        <v>46405.81</v>
      </c>
      <c r="Z322" s="583">
        <f>D322+R322</f>
        <v>18432.350000000002</v>
      </c>
      <c r="AA322">
        <f>U322+V322</f>
        <v>27973.460000000003</v>
      </c>
      <c r="AB322" s="39">
        <f>U353+V353</f>
        <v>6039.2</v>
      </c>
      <c r="AC322" s="39">
        <f>AA322+AB322</f>
        <v>34012.66</v>
      </c>
    </row>
    <row r="323" spans="1:29" ht="20.25" customHeight="1">
      <c r="A323" s="431" t="s">
        <v>53</v>
      </c>
      <c r="B323" s="74">
        <f t="shared" si="188"/>
        <v>130428.34000000026</v>
      </c>
      <c r="C323" s="446">
        <v>33877.29</v>
      </c>
      <c r="D323" s="446">
        <v>36897.45</v>
      </c>
      <c r="E323" s="72"/>
      <c r="F323" s="74">
        <f aca="true" t="shared" si="192" ref="F323:F348">B323+C323-D323</f>
        <v>127408.18000000027</v>
      </c>
      <c r="G323" s="1451">
        <f t="shared" si="189"/>
        <v>2610.7999999999993</v>
      </c>
      <c r="H323" s="1448">
        <v>294.05</v>
      </c>
      <c r="I323" s="287">
        <f>3100.8+2646.45</f>
        <v>5747.25</v>
      </c>
      <c r="J323" s="1450">
        <f aca="true" t="shared" si="193" ref="J323:J348">G323+H323-I323</f>
        <v>-2842.4000000000005</v>
      </c>
      <c r="K323" s="274">
        <f t="shared" si="190"/>
        <v>-3623.4</v>
      </c>
      <c r="L323" s="1352">
        <v>137.45</v>
      </c>
      <c r="M323" s="1438">
        <v>137.45</v>
      </c>
      <c r="N323" s="108">
        <f aca="true" t="shared" si="194" ref="N323:N348">K323+L323-M323</f>
        <v>-3623.4</v>
      </c>
      <c r="O323" s="274">
        <f t="shared" si="191"/>
        <v>137.46000000000004</v>
      </c>
      <c r="P323" s="543">
        <v>105.43</v>
      </c>
      <c r="Q323" s="422"/>
      <c r="R323" s="422">
        <v>106.22</v>
      </c>
      <c r="S323" s="1452">
        <f aca="true" t="shared" si="195" ref="S323:S348">O323+P323-R323</f>
        <v>136.67000000000004</v>
      </c>
      <c r="T323" s="800">
        <f aca="true" t="shared" si="196" ref="T323:T348">R323</f>
        <v>106.22</v>
      </c>
      <c r="U323" s="801">
        <f aca="true" t="shared" si="197" ref="U323:U348">M323</f>
        <v>137.45</v>
      </c>
      <c r="V323" s="801">
        <f aca="true" t="shared" si="198" ref="V323:V348">I323</f>
        <v>5747.25</v>
      </c>
      <c r="W323" s="802">
        <f aca="true" t="shared" si="199" ref="W323:W348">T323+U323+V323</f>
        <v>5990.92</v>
      </c>
      <c r="X323" s="295">
        <f aca="true" t="shared" si="200" ref="X323:X337">C323+H323+L323+P323</f>
        <v>34414.22</v>
      </c>
      <c r="Y323" s="292">
        <f aca="true" t="shared" si="201" ref="Y323:Y348">D323+I323+M323+R323</f>
        <v>42888.369999999995</v>
      </c>
      <c r="Z323" s="583">
        <f aca="true" t="shared" si="202" ref="Z323:Z348">D323+R323</f>
        <v>37003.67</v>
      </c>
      <c r="AA323">
        <f aca="true" t="shared" si="203" ref="AA323:AA348">U323+V323</f>
        <v>5884.7</v>
      </c>
      <c r="AB323" s="39">
        <f aca="true" t="shared" si="204" ref="AB323:AB348">U354+V354</f>
        <v>431.5</v>
      </c>
      <c r="AC323" s="39">
        <f aca="true" t="shared" si="205" ref="AC323:AC348">AA323+AB323</f>
        <v>6316.2</v>
      </c>
    </row>
    <row r="324" spans="1:29" ht="18.75">
      <c r="A324" s="431" t="s">
        <v>8</v>
      </c>
      <c r="B324" s="74">
        <f t="shared" si="188"/>
        <v>74445.62</v>
      </c>
      <c r="C324" s="1457"/>
      <c r="D324" s="447"/>
      <c r="E324" s="74"/>
      <c r="F324" s="74">
        <f t="shared" si="192"/>
        <v>74445.62</v>
      </c>
      <c r="G324" s="1451">
        <f t="shared" si="189"/>
        <v>0</v>
      </c>
      <c r="H324" s="1119"/>
      <c r="I324" s="287"/>
      <c r="J324" s="1450">
        <f t="shared" si="193"/>
        <v>0</v>
      </c>
      <c r="K324" s="274">
        <f t="shared" si="190"/>
        <v>0</v>
      </c>
      <c r="L324" s="1352"/>
      <c r="M324" s="1439"/>
      <c r="N324" s="108">
        <f t="shared" si="194"/>
        <v>0</v>
      </c>
      <c r="O324" s="274">
        <f t="shared" si="191"/>
        <v>0</v>
      </c>
      <c r="P324" s="1453"/>
      <c r="Q324" s="1454"/>
      <c r="R324" s="1455"/>
      <c r="S324" s="1452">
        <f t="shared" si="195"/>
        <v>0</v>
      </c>
      <c r="T324" s="800">
        <f t="shared" si="196"/>
        <v>0</v>
      </c>
      <c r="U324" s="801">
        <f t="shared" si="197"/>
        <v>0</v>
      </c>
      <c r="V324" s="801">
        <f t="shared" si="198"/>
        <v>0</v>
      </c>
      <c r="W324" s="802">
        <f t="shared" si="199"/>
        <v>0</v>
      </c>
      <c r="X324" s="295">
        <f t="shared" si="200"/>
        <v>0</v>
      </c>
      <c r="Y324" s="292">
        <f t="shared" si="201"/>
        <v>0</v>
      </c>
      <c r="Z324" s="583">
        <f t="shared" si="202"/>
        <v>0</v>
      </c>
      <c r="AA324">
        <f t="shared" si="203"/>
        <v>0</v>
      </c>
      <c r="AB324" s="39">
        <f t="shared" si="204"/>
        <v>0</v>
      </c>
      <c r="AC324" s="39">
        <f t="shared" si="205"/>
        <v>0</v>
      </c>
    </row>
    <row r="325" spans="1:29" ht="18.75">
      <c r="A325" s="431" t="s">
        <v>48</v>
      </c>
      <c r="B325" s="74">
        <f t="shared" si="188"/>
        <v>392618.6400000002</v>
      </c>
      <c r="C325" s="1457">
        <v>81815.35</v>
      </c>
      <c r="D325" s="447">
        <v>77433.3</v>
      </c>
      <c r="E325" s="74"/>
      <c r="F325" s="74">
        <f t="shared" si="192"/>
        <v>397000.69000000024</v>
      </c>
      <c r="G325" s="1451">
        <f t="shared" si="189"/>
        <v>12450.669999999998</v>
      </c>
      <c r="H325" s="1120">
        <v>1401.11</v>
      </c>
      <c r="I325" s="287">
        <f>14901.48+12609.99</f>
        <v>27511.47</v>
      </c>
      <c r="J325" s="1450">
        <f t="shared" si="193"/>
        <v>-13659.690000000002</v>
      </c>
      <c r="K325" s="274">
        <f t="shared" si="190"/>
        <v>-1628.829999999999</v>
      </c>
      <c r="L325" s="1352">
        <v>1696.52</v>
      </c>
      <c r="M325" s="1439">
        <v>2487.67</v>
      </c>
      <c r="N325" s="108">
        <f t="shared" si="194"/>
        <v>-2419.979999999999</v>
      </c>
      <c r="O325" s="274">
        <f t="shared" si="191"/>
        <v>-1837.4099999999994</v>
      </c>
      <c r="P325" s="1453">
        <v>179.65</v>
      </c>
      <c r="Q325" s="1454"/>
      <c r="R325" s="1455">
        <v>175.48</v>
      </c>
      <c r="S325" s="1452">
        <f t="shared" si="195"/>
        <v>-1833.2399999999993</v>
      </c>
      <c r="T325" s="800">
        <f t="shared" si="196"/>
        <v>175.48</v>
      </c>
      <c r="U325" s="801">
        <f t="shared" si="197"/>
        <v>2487.67</v>
      </c>
      <c r="V325" s="801">
        <f t="shared" si="198"/>
        <v>27511.47</v>
      </c>
      <c r="W325" s="802">
        <f t="shared" si="199"/>
        <v>30174.620000000003</v>
      </c>
      <c r="X325" s="295">
        <f t="shared" si="200"/>
        <v>85092.63</v>
      </c>
      <c r="Y325" s="292">
        <f t="shared" si="201"/>
        <v>107607.92</v>
      </c>
      <c r="Z325" s="583">
        <f t="shared" si="202"/>
        <v>77608.78</v>
      </c>
      <c r="AA325">
        <f t="shared" si="203"/>
        <v>29999.14</v>
      </c>
      <c r="AB325" s="39">
        <f t="shared" si="204"/>
        <v>2306.48</v>
      </c>
      <c r="AC325" s="39">
        <f t="shared" si="205"/>
        <v>32305.62</v>
      </c>
    </row>
    <row r="326" spans="1:29" ht="18.75">
      <c r="A326" s="431" t="s">
        <v>9</v>
      </c>
      <c r="B326" s="74">
        <f t="shared" si="188"/>
        <v>135258.54</v>
      </c>
      <c r="C326" s="1457">
        <v>20363.74</v>
      </c>
      <c r="D326" s="447">
        <v>16626.65</v>
      </c>
      <c r="E326" s="74"/>
      <c r="F326" s="74">
        <f t="shared" si="192"/>
        <v>138995.63</v>
      </c>
      <c r="G326" s="1451">
        <f t="shared" si="189"/>
        <v>14562.009999999984</v>
      </c>
      <c r="H326" s="1120">
        <f>1508.75+112.42</f>
        <v>1621.17</v>
      </c>
      <c r="I326" s="287">
        <f>17572.68+1195.68+13578.75+1011.78</f>
        <v>33358.89</v>
      </c>
      <c r="J326" s="1450">
        <f t="shared" si="193"/>
        <v>-17175.710000000014</v>
      </c>
      <c r="K326" s="274">
        <f t="shared" si="190"/>
        <v>0</v>
      </c>
      <c r="L326" s="1352"/>
      <c r="M326" s="1439"/>
      <c r="N326" s="108">
        <f t="shared" si="194"/>
        <v>0</v>
      </c>
      <c r="O326" s="274">
        <f t="shared" si="191"/>
        <v>1091.4299999999996</v>
      </c>
      <c r="P326" s="1453">
        <v>10.37</v>
      </c>
      <c r="Q326" s="1454"/>
      <c r="R326" s="1456">
        <v>10.37</v>
      </c>
      <c r="S326" s="1452">
        <f t="shared" si="195"/>
        <v>1091.4299999999996</v>
      </c>
      <c r="T326" s="800">
        <f t="shared" si="196"/>
        <v>10.37</v>
      </c>
      <c r="U326" s="803">
        <f t="shared" si="197"/>
        <v>0</v>
      </c>
      <c r="V326" s="801">
        <f t="shared" si="198"/>
        <v>33358.89</v>
      </c>
      <c r="W326" s="802">
        <f t="shared" si="199"/>
        <v>33369.26</v>
      </c>
      <c r="X326" s="295">
        <f t="shared" si="200"/>
        <v>21995.280000000002</v>
      </c>
      <c r="Y326" s="292">
        <f t="shared" si="201"/>
        <v>49995.91</v>
      </c>
      <c r="Z326" s="583">
        <f t="shared" si="202"/>
        <v>16637.02</v>
      </c>
      <c r="AA326">
        <f t="shared" si="203"/>
        <v>33358.89</v>
      </c>
      <c r="AB326" s="39">
        <f t="shared" si="204"/>
        <v>1621.17</v>
      </c>
      <c r="AC326" s="39">
        <f t="shared" si="205"/>
        <v>34980.06</v>
      </c>
    </row>
    <row r="327" spans="1:29" ht="18.75">
      <c r="A327" s="431" t="s">
        <v>10</v>
      </c>
      <c r="B327" s="74">
        <f t="shared" si="188"/>
        <v>10366.450000000099</v>
      </c>
      <c r="C327" s="1457">
        <v>8796.01</v>
      </c>
      <c r="D327" s="447">
        <v>8735.02</v>
      </c>
      <c r="E327" s="74"/>
      <c r="F327" s="74">
        <f t="shared" si="192"/>
        <v>10427.4400000001</v>
      </c>
      <c r="G327" s="1451">
        <f t="shared" si="189"/>
        <v>0</v>
      </c>
      <c r="H327" s="1119"/>
      <c r="I327" s="287"/>
      <c r="J327" s="1450">
        <f t="shared" si="193"/>
        <v>0</v>
      </c>
      <c r="K327" s="274">
        <f t="shared" si="190"/>
        <v>0</v>
      </c>
      <c r="L327" s="1352"/>
      <c r="M327" s="1439"/>
      <c r="N327" s="108">
        <f t="shared" si="194"/>
        <v>0</v>
      </c>
      <c r="O327" s="274">
        <f t="shared" si="191"/>
        <v>47.67999999999999</v>
      </c>
      <c r="P327" s="1453"/>
      <c r="Q327" s="1454"/>
      <c r="R327" s="1456"/>
      <c r="S327" s="1452">
        <f t="shared" si="195"/>
        <v>47.67999999999999</v>
      </c>
      <c r="T327" s="800">
        <f t="shared" si="196"/>
        <v>0</v>
      </c>
      <c r="U327" s="801">
        <f t="shared" si="197"/>
        <v>0</v>
      </c>
      <c r="V327" s="801">
        <f t="shared" si="198"/>
        <v>0</v>
      </c>
      <c r="W327" s="802">
        <f t="shared" si="199"/>
        <v>0</v>
      </c>
      <c r="X327" s="295">
        <f t="shared" si="200"/>
        <v>8796.01</v>
      </c>
      <c r="Y327" s="292">
        <f t="shared" si="201"/>
        <v>8735.02</v>
      </c>
      <c r="Z327" s="583">
        <f t="shared" si="202"/>
        <v>8735.02</v>
      </c>
      <c r="AA327">
        <f t="shared" si="203"/>
        <v>0</v>
      </c>
      <c r="AB327" s="39">
        <f t="shared" si="204"/>
        <v>0</v>
      </c>
      <c r="AC327" s="39">
        <f t="shared" si="205"/>
        <v>0</v>
      </c>
    </row>
    <row r="328" spans="1:29" ht="18.75">
      <c r="A328" s="431" t="s">
        <v>11</v>
      </c>
      <c r="B328" s="74">
        <f t="shared" si="188"/>
        <v>6993.760000000029</v>
      </c>
      <c r="C328" s="1457">
        <v>8764.88</v>
      </c>
      <c r="D328" s="447">
        <v>6900.58</v>
      </c>
      <c r="E328" s="74"/>
      <c r="F328" s="74">
        <f t="shared" si="192"/>
        <v>8858.060000000029</v>
      </c>
      <c r="G328" s="1451">
        <f t="shared" si="189"/>
        <v>0</v>
      </c>
      <c r="H328" s="1119"/>
      <c r="I328" s="287"/>
      <c r="J328" s="1450">
        <f t="shared" si="193"/>
        <v>0</v>
      </c>
      <c r="K328" s="274">
        <f t="shared" si="190"/>
        <v>0</v>
      </c>
      <c r="L328" s="1352"/>
      <c r="M328" s="1439"/>
      <c r="N328" s="108">
        <f t="shared" si="194"/>
        <v>0</v>
      </c>
      <c r="O328" s="274">
        <f t="shared" si="191"/>
        <v>89.53</v>
      </c>
      <c r="P328" s="1453"/>
      <c r="Q328" s="1454"/>
      <c r="R328" s="1456"/>
      <c r="S328" s="1452">
        <f t="shared" si="195"/>
        <v>89.53</v>
      </c>
      <c r="T328" s="800">
        <f t="shared" si="196"/>
        <v>0</v>
      </c>
      <c r="U328" s="801">
        <f t="shared" si="197"/>
        <v>0</v>
      </c>
      <c r="V328" s="801">
        <f t="shared" si="198"/>
        <v>0</v>
      </c>
      <c r="W328" s="802">
        <f t="shared" si="199"/>
        <v>0</v>
      </c>
      <c r="X328" s="295">
        <f t="shared" si="200"/>
        <v>8764.88</v>
      </c>
      <c r="Y328" s="292">
        <f t="shared" si="201"/>
        <v>6900.58</v>
      </c>
      <c r="Z328" s="583">
        <f t="shared" si="202"/>
        <v>6900.58</v>
      </c>
      <c r="AA328">
        <f t="shared" si="203"/>
        <v>0</v>
      </c>
      <c r="AB328" s="39">
        <f t="shared" si="204"/>
        <v>0</v>
      </c>
      <c r="AC328" s="39">
        <f t="shared" si="205"/>
        <v>0</v>
      </c>
    </row>
    <row r="329" spans="1:29" ht="18.75">
      <c r="A329" s="431" t="s">
        <v>12</v>
      </c>
      <c r="B329" s="74">
        <f t="shared" si="188"/>
        <v>92302.67000000019</v>
      </c>
      <c r="C329" s="1457">
        <v>50194.42</v>
      </c>
      <c r="D329" s="447">
        <v>47378.13</v>
      </c>
      <c r="E329" s="74"/>
      <c r="F329" s="74">
        <f t="shared" si="192"/>
        <v>95118.9600000002</v>
      </c>
      <c r="G329" s="1451">
        <f t="shared" si="189"/>
        <v>5186.479999999993</v>
      </c>
      <c r="H329" s="1120">
        <v>583.65</v>
      </c>
      <c r="I329" s="287">
        <f>6207.36+5252.85</f>
        <v>11460.21</v>
      </c>
      <c r="J329" s="1450">
        <f t="shared" si="193"/>
        <v>-5690.080000000006</v>
      </c>
      <c r="K329" s="274">
        <f t="shared" si="190"/>
        <v>1508.3999999999985</v>
      </c>
      <c r="L329" s="1352">
        <v>1722.24</v>
      </c>
      <c r="M329" s="1439">
        <v>1722.24</v>
      </c>
      <c r="N329" s="108">
        <f t="shared" si="194"/>
        <v>1508.3999999999985</v>
      </c>
      <c r="O329" s="274">
        <f t="shared" si="191"/>
        <v>250.39999999999998</v>
      </c>
      <c r="P329" s="1453">
        <v>82.88</v>
      </c>
      <c r="Q329" s="1454"/>
      <c r="R329" s="1456">
        <v>38.52</v>
      </c>
      <c r="S329" s="1452">
        <f t="shared" si="195"/>
        <v>294.76</v>
      </c>
      <c r="T329" s="800">
        <f t="shared" si="196"/>
        <v>38.52</v>
      </c>
      <c r="U329" s="801">
        <f t="shared" si="197"/>
        <v>1722.24</v>
      </c>
      <c r="V329" s="801">
        <f t="shared" si="198"/>
        <v>11460.21</v>
      </c>
      <c r="W329" s="802">
        <f t="shared" si="199"/>
        <v>13220.97</v>
      </c>
      <c r="X329" s="295">
        <f t="shared" si="200"/>
        <v>52583.189999999995</v>
      </c>
      <c r="Y329" s="292">
        <f t="shared" si="201"/>
        <v>60599.09999999999</v>
      </c>
      <c r="Z329" s="583">
        <f t="shared" si="202"/>
        <v>47416.649999999994</v>
      </c>
      <c r="AA329">
        <f t="shared" si="203"/>
        <v>13182.449999999999</v>
      </c>
      <c r="AB329" s="39">
        <f t="shared" si="204"/>
        <v>2305.89</v>
      </c>
      <c r="AC329" s="39">
        <f t="shared" si="205"/>
        <v>15488.339999999998</v>
      </c>
    </row>
    <row r="330" spans="1:29" ht="18.75">
      <c r="A330" s="431" t="s">
        <v>13</v>
      </c>
      <c r="B330" s="74">
        <f t="shared" si="188"/>
        <v>57439.76000000004</v>
      </c>
      <c r="C330" s="1457">
        <v>29655.43</v>
      </c>
      <c r="D330" s="447">
        <v>27844.03</v>
      </c>
      <c r="E330" s="74"/>
      <c r="F330" s="74">
        <f t="shared" si="192"/>
        <v>59251.16000000003</v>
      </c>
      <c r="G330" s="1451">
        <f t="shared" si="189"/>
        <v>1922.6599999999976</v>
      </c>
      <c r="H330" s="1120">
        <v>196.74</v>
      </c>
      <c r="I330" s="287">
        <f>2092.44+1770.66</f>
        <v>3863.1000000000004</v>
      </c>
      <c r="J330" s="1450">
        <f t="shared" si="193"/>
        <v>-1743.7000000000025</v>
      </c>
      <c r="K330" s="274">
        <f t="shared" si="190"/>
        <v>-1562.25</v>
      </c>
      <c r="L330" s="1352">
        <v>727.77</v>
      </c>
      <c r="M330" s="1439">
        <v>1455.54</v>
      </c>
      <c r="N330" s="108">
        <f t="shared" si="194"/>
        <v>-2290.02</v>
      </c>
      <c r="O330" s="274">
        <f t="shared" si="191"/>
        <v>59.10000000000004</v>
      </c>
      <c r="P330" s="1453">
        <v>11.39</v>
      </c>
      <c r="Q330" s="1454"/>
      <c r="R330" s="1455">
        <v>11.39</v>
      </c>
      <c r="S330" s="1452">
        <f t="shared" si="195"/>
        <v>59.10000000000004</v>
      </c>
      <c r="T330" s="800">
        <f t="shared" si="196"/>
        <v>11.39</v>
      </c>
      <c r="U330" s="801">
        <f t="shared" si="197"/>
        <v>1455.54</v>
      </c>
      <c r="V330" s="801">
        <f t="shared" si="198"/>
        <v>3863.1000000000004</v>
      </c>
      <c r="W330" s="802">
        <f t="shared" si="199"/>
        <v>5330.030000000001</v>
      </c>
      <c r="X330" s="295">
        <f t="shared" si="200"/>
        <v>30591.33</v>
      </c>
      <c r="Y330" s="292">
        <f t="shared" si="201"/>
        <v>33174.06</v>
      </c>
      <c r="Z330" s="583">
        <f t="shared" si="202"/>
        <v>27855.42</v>
      </c>
      <c r="AA330">
        <f t="shared" si="203"/>
        <v>5318.64</v>
      </c>
      <c r="AB330" s="39">
        <f t="shared" si="204"/>
        <v>924.51</v>
      </c>
      <c r="AC330" s="39">
        <f t="shared" si="205"/>
        <v>6243.150000000001</v>
      </c>
    </row>
    <row r="331" spans="1:29" ht="18.75">
      <c r="A331" s="431" t="s">
        <v>14</v>
      </c>
      <c r="B331" s="74">
        <f t="shared" si="188"/>
        <v>64221.77000000009</v>
      </c>
      <c r="C331" s="1457">
        <v>36574.19</v>
      </c>
      <c r="D331" s="447">
        <v>36059.78</v>
      </c>
      <c r="E331" s="74"/>
      <c r="F331" s="74">
        <f t="shared" si="192"/>
        <v>64736.180000000095</v>
      </c>
      <c r="G331" s="1451">
        <f t="shared" si="189"/>
        <v>0.29999999999972715</v>
      </c>
      <c r="H331" s="1119"/>
      <c r="I331" s="287">
        <f>1291.08</f>
        <v>1291.08</v>
      </c>
      <c r="J331" s="1450">
        <f t="shared" si="193"/>
        <v>-1290.7800000000002</v>
      </c>
      <c r="K331" s="274">
        <f t="shared" si="190"/>
        <v>4424.82</v>
      </c>
      <c r="L331" s="1352">
        <v>2926</v>
      </c>
      <c r="M331" s="1439">
        <v>3286.59</v>
      </c>
      <c r="N331" s="108">
        <f t="shared" si="194"/>
        <v>4064.2299999999996</v>
      </c>
      <c r="O331" s="274">
        <f t="shared" si="191"/>
        <v>-210.87000000000003</v>
      </c>
      <c r="P331" s="1453">
        <v>49.73</v>
      </c>
      <c r="Q331" s="1454"/>
      <c r="R331" s="1455">
        <v>49.09</v>
      </c>
      <c r="S331" s="1452">
        <f t="shared" si="195"/>
        <v>-210.23000000000005</v>
      </c>
      <c r="T331" s="800">
        <f t="shared" si="196"/>
        <v>49.09</v>
      </c>
      <c r="U331" s="801">
        <f t="shared" si="197"/>
        <v>3286.59</v>
      </c>
      <c r="V331" s="801">
        <f t="shared" si="198"/>
        <v>1291.08</v>
      </c>
      <c r="W331" s="802">
        <f t="shared" si="199"/>
        <v>4626.76</v>
      </c>
      <c r="X331" s="295">
        <f t="shared" si="200"/>
        <v>39549.920000000006</v>
      </c>
      <c r="Y331" s="292">
        <f t="shared" si="201"/>
        <v>40686.53999999999</v>
      </c>
      <c r="Z331" s="583">
        <f t="shared" si="202"/>
        <v>36108.869999999995</v>
      </c>
      <c r="AA331">
        <f t="shared" si="203"/>
        <v>4577.67</v>
      </c>
      <c r="AB331" s="39">
        <f t="shared" si="204"/>
        <v>3407.99</v>
      </c>
      <c r="AC331" s="39">
        <f t="shared" si="205"/>
        <v>7985.66</v>
      </c>
    </row>
    <row r="332" spans="1:29" ht="18.75">
      <c r="A332" s="431" t="s">
        <v>55</v>
      </c>
      <c r="B332" s="74">
        <f t="shared" si="188"/>
        <v>34960.77000000002</v>
      </c>
      <c r="C332" s="1457">
        <v>16275.19</v>
      </c>
      <c r="D332" s="447">
        <v>16635.77</v>
      </c>
      <c r="E332" s="74"/>
      <c r="F332" s="74">
        <f t="shared" si="192"/>
        <v>34600.19000000002</v>
      </c>
      <c r="G332" s="1451">
        <f t="shared" si="189"/>
        <v>1859.9000000000015</v>
      </c>
      <c r="H332" s="1120">
        <v>209.3</v>
      </c>
      <c r="I332" s="287">
        <f>2226+1883.7</f>
        <v>4109.7</v>
      </c>
      <c r="J332" s="1450">
        <f t="shared" si="193"/>
        <v>-2040.4999999999982</v>
      </c>
      <c r="K332" s="274">
        <f t="shared" si="190"/>
        <v>3455.700000000003</v>
      </c>
      <c r="L332" s="1352">
        <v>773.21</v>
      </c>
      <c r="M332" s="1439">
        <v>705.64</v>
      </c>
      <c r="N332" s="108">
        <f t="shared" si="194"/>
        <v>3523.2700000000036</v>
      </c>
      <c r="O332" s="274">
        <f t="shared" si="191"/>
        <v>-763.83</v>
      </c>
      <c r="P332" s="1453">
        <v>35.4</v>
      </c>
      <c r="Q332" s="1454"/>
      <c r="R332" s="1455">
        <v>35.4</v>
      </c>
      <c r="S332" s="1452">
        <f t="shared" si="195"/>
        <v>-763.83</v>
      </c>
      <c r="T332" s="800">
        <f t="shared" si="196"/>
        <v>35.4</v>
      </c>
      <c r="U332" s="801">
        <f t="shared" si="197"/>
        <v>705.64</v>
      </c>
      <c r="V332" s="801">
        <f t="shared" si="198"/>
        <v>4109.7</v>
      </c>
      <c r="W332" s="802">
        <f t="shared" si="199"/>
        <v>4850.74</v>
      </c>
      <c r="X332" s="295">
        <f t="shared" si="200"/>
        <v>17293.100000000002</v>
      </c>
      <c r="Y332" s="292">
        <f t="shared" si="201"/>
        <v>21486.510000000002</v>
      </c>
      <c r="Z332" s="583">
        <f t="shared" si="202"/>
        <v>16671.170000000002</v>
      </c>
      <c r="AA332">
        <f t="shared" si="203"/>
        <v>4815.34</v>
      </c>
      <c r="AB332" s="39">
        <f t="shared" si="204"/>
        <v>209.3</v>
      </c>
      <c r="AC332" s="39">
        <f t="shared" si="205"/>
        <v>5024.64</v>
      </c>
    </row>
    <row r="333" spans="1:29" ht="18.75">
      <c r="A333" s="431" t="s">
        <v>15</v>
      </c>
      <c r="B333" s="74">
        <f t="shared" si="188"/>
        <v>123518.67000000032</v>
      </c>
      <c r="C333" s="1457">
        <v>39158.91</v>
      </c>
      <c r="D333" s="447">
        <v>35470.14</v>
      </c>
      <c r="E333" s="74"/>
      <c r="F333" s="74">
        <f t="shared" si="192"/>
        <v>127207.44000000031</v>
      </c>
      <c r="G333" s="1451">
        <f t="shared" si="189"/>
        <v>0</v>
      </c>
      <c r="H333" s="1119"/>
      <c r="I333" s="287"/>
      <c r="J333" s="1450">
        <f t="shared" si="193"/>
        <v>0</v>
      </c>
      <c r="K333" s="274">
        <f t="shared" si="190"/>
        <v>11365.470000000001</v>
      </c>
      <c r="L333" s="1352">
        <v>2209.01</v>
      </c>
      <c r="M333" s="1439">
        <v>59086.58</v>
      </c>
      <c r="N333" s="108">
        <f t="shared" si="194"/>
        <v>-45512.1</v>
      </c>
      <c r="O333" s="274">
        <f t="shared" si="191"/>
        <v>467.11999999999966</v>
      </c>
      <c r="P333" s="1453">
        <v>23.14</v>
      </c>
      <c r="Q333" s="1454"/>
      <c r="R333" s="1455">
        <v>21.02</v>
      </c>
      <c r="S333" s="1452">
        <f t="shared" si="195"/>
        <v>469.23999999999967</v>
      </c>
      <c r="T333" s="800">
        <f t="shared" si="196"/>
        <v>21.02</v>
      </c>
      <c r="U333" s="801">
        <f t="shared" si="197"/>
        <v>59086.58</v>
      </c>
      <c r="V333" s="801">
        <f t="shared" si="198"/>
        <v>0</v>
      </c>
      <c r="W333" s="802">
        <f t="shared" si="199"/>
        <v>59107.6</v>
      </c>
      <c r="X333" s="295">
        <f t="shared" si="200"/>
        <v>41391.060000000005</v>
      </c>
      <c r="Y333" s="292">
        <f t="shared" si="201"/>
        <v>94577.74</v>
      </c>
      <c r="Z333" s="583">
        <f t="shared" si="202"/>
        <v>35491.159999999996</v>
      </c>
      <c r="AA333">
        <f t="shared" si="203"/>
        <v>59086.58</v>
      </c>
      <c r="AB333" s="39">
        <f t="shared" si="204"/>
        <v>0</v>
      </c>
      <c r="AC333" s="39">
        <f>AA333+AB333</f>
        <v>59086.58</v>
      </c>
    </row>
    <row r="334" spans="1:29" ht="18.75">
      <c r="A334" s="431" t="s">
        <v>16</v>
      </c>
      <c r="B334" s="74">
        <f t="shared" si="188"/>
        <v>40449.15000000008</v>
      </c>
      <c r="C334" s="1457">
        <v>31868.05</v>
      </c>
      <c r="D334" s="447">
        <v>34798.15</v>
      </c>
      <c r="E334" s="74"/>
      <c r="F334" s="74">
        <f t="shared" si="192"/>
        <v>37519.05000000008</v>
      </c>
      <c r="G334" s="1451">
        <f t="shared" si="189"/>
        <v>0</v>
      </c>
      <c r="H334" s="1119"/>
      <c r="I334" s="287"/>
      <c r="J334" s="1450">
        <f t="shared" si="193"/>
        <v>0</v>
      </c>
      <c r="K334" s="274">
        <f t="shared" si="190"/>
        <v>2148.780000000002</v>
      </c>
      <c r="L334" s="1352">
        <v>328.3</v>
      </c>
      <c r="M334" s="1439">
        <v>984.9</v>
      </c>
      <c r="N334" s="108">
        <f t="shared" si="194"/>
        <v>1492.180000000002</v>
      </c>
      <c r="O334" s="274">
        <f t="shared" si="191"/>
        <v>26.25</v>
      </c>
      <c r="P334" s="1453">
        <v>66.11</v>
      </c>
      <c r="Q334" s="1454"/>
      <c r="R334" s="1455">
        <v>66.11</v>
      </c>
      <c r="S334" s="1452">
        <f t="shared" si="195"/>
        <v>26.25</v>
      </c>
      <c r="T334" s="800">
        <f t="shared" si="196"/>
        <v>66.11</v>
      </c>
      <c r="U334" s="801">
        <f t="shared" si="197"/>
        <v>984.9</v>
      </c>
      <c r="V334" s="801">
        <f t="shared" si="198"/>
        <v>0</v>
      </c>
      <c r="W334" s="802">
        <f t="shared" si="199"/>
        <v>1051.01</v>
      </c>
      <c r="X334" s="295">
        <f t="shared" si="200"/>
        <v>32262.46</v>
      </c>
      <c r="Y334" s="292">
        <f t="shared" si="201"/>
        <v>35849.16</v>
      </c>
      <c r="Z334" s="583">
        <f t="shared" si="202"/>
        <v>34864.26</v>
      </c>
      <c r="AA334">
        <f t="shared" si="203"/>
        <v>984.9</v>
      </c>
      <c r="AB334" s="39">
        <f t="shared" si="204"/>
        <v>0</v>
      </c>
      <c r="AC334" s="39">
        <f t="shared" si="205"/>
        <v>984.9</v>
      </c>
    </row>
    <row r="335" spans="1:29" ht="18.75">
      <c r="A335" s="431" t="s">
        <v>17</v>
      </c>
      <c r="B335" s="74">
        <f t="shared" si="188"/>
        <v>59748.81000000034</v>
      </c>
      <c r="C335" s="1457">
        <v>41492.76</v>
      </c>
      <c r="D335" s="447">
        <v>40137.94</v>
      </c>
      <c r="E335" s="74"/>
      <c r="F335" s="74">
        <f t="shared" si="192"/>
        <v>61103.63000000034</v>
      </c>
      <c r="G335" s="1451">
        <f t="shared" si="189"/>
        <v>3693.2299999999987</v>
      </c>
      <c r="H335" s="1120">
        <v>415.61</v>
      </c>
      <c r="I335" s="287">
        <f>4420.2+3740.49</f>
        <v>8160.69</v>
      </c>
      <c r="J335" s="1450">
        <f t="shared" si="193"/>
        <v>-4051.8500000000013</v>
      </c>
      <c r="K335" s="274">
        <f t="shared" si="190"/>
        <v>1318.6299999999997</v>
      </c>
      <c r="L335" s="1352">
        <v>699.06</v>
      </c>
      <c r="M335" s="1439">
        <v>699.06</v>
      </c>
      <c r="N335" s="108">
        <f t="shared" si="194"/>
        <v>1318.6299999999997</v>
      </c>
      <c r="O335" s="274">
        <f t="shared" si="191"/>
        <v>80.36</v>
      </c>
      <c r="P335" s="1453">
        <v>15.66</v>
      </c>
      <c r="Q335" s="1454"/>
      <c r="R335" s="1455">
        <v>15.66</v>
      </c>
      <c r="S335" s="1452">
        <f t="shared" si="195"/>
        <v>80.36</v>
      </c>
      <c r="T335" s="800">
        <f t="shared" si="196"/>
        <v>15.66</v>
      </c>
      <c r="U335" s="803">
        <f t="shared" si="197"/>
        <v>699.06</v>
      </c>
      <c r="V335" s="801">
        <f t="shared" si="198"/>
        <v>8160.69</v>
      </c>
      <c r="W335" s="802">
        <f t="shared" si="199"/>
        <v>8875.41</v>
      </c>
      <c r="X335" s="295">
        <f t="shared" si="200"/>
        <v>42623.090000000004</v>
      </c>
      <c r="Y335" s="292">
        <f t="shared" si="201"/>
        <v>49013.350000000006</v>
      </c>
      <c r="Z335" s="583">
        <f t="shared" si="202"/>
        <v>40153.600000000006</v>
      </c>
      <c r="AA335">
        <f t="shared" si="203"/>
        <v>8859.75</v>
      </c>
      <c r="AB335" s="39">
        <f t="shared" si="204"/>
        <v>1114.67</v>
      </c>
      <c r="AC335" s="39">
        <f t="shared" si="205"/>
        <v>9974.42</v>
      </c>
    </row>
    <row r="336" spans="1:29" ht="18.75">
      <c r="A336" s="431" t="s">
        <v>18</v>
      </c>
      <c r="B336" s="74">
        <f t="shared" si="188"/>
        <v>168677.89</v>
      </c>
      <c r="C336" s="1457">
        <v>88452</v>
      </c>
      <c r="D336" s="447">
        <v>93673.03</v>
      </c>
      <c r="E336" s="74"/>
      <c r="F336" s="74">
        <f t="shared" si="192"/>
        <v>163456.86000000002</v>
      </c>
      <c r="G336" s="1451">
        <f t="shared" si="189"/>
        <v>346.08999999999855</v>
      </c>
      <c r="H336" s="1119"/>
      <c r="I336" s="287"/>
      <c r="J336" s="1450">
        <f t="shared" si="193"/>
        <v>346.08999999999855</v>
      </c>
      <c r="K336" s="274">
        <f t="shared" si="190"/>
        <v>4523.41</v>
      </c>
      <c r="L336" s="1352">
        <v>2704.76</v>
      </c>
      <c r="M336" s="1439">
        <v>3509.07</v>
      </c>
      <c r="N336" s="108">
        <f t="shared" si="194"/>
        <v>3719.1</v>
      </c>
      <c r="O336" s="274">
        <f t="shared" si="191"/>
        <v>701.4200000000001</v>
      </c>
      <c r="P336" s="1453">
        <v>190.16</v>
      </c>
      <c r="Q336" s="1454"/>
      <c r="R336" s="1455">
        <v>428.89</v>
      </c>
      <c r="S336" s="1452">
        <f t="shared" si="195"/>
        <v>462.69000000000005</v>
      </c>
      <c r="T336" s="800">
        <f t="shared" si="196"/>
        <v>428.89</v>
      </c>
      <c r="U336" s="801">
        <f t="shared" si="197"/>
        <v>3509.07</v>
      </c>
      <c r="V336" s="801">
        <f t="shared" si="198"/>
        <v>0</v>
      </c>
      <c r="W336" s="802">
        <f t="shared" si="199"/>
        <v>3937.96</v>
      </c>
      <c r="X336" s="295">
        <f t="shared" si="200"/>
        <v>91346.92</v>
      </c>
      <c r="Y336" s="292">
        <f t="shared" si="201"/>
        <v>97610.99</v>
      </c>
      <c r="Z336" s="583">
        <f t="shared" si="202"/>
        <v>94101.92</v>
      </c>
      <c r="AA336">
        <f t="shared" si="203"/>
        <v>3509.07</v>
      </c>
      <c r="AB336" s="39">
        <f t="shared" si="204"/>
        <v>2914.06</v>
      </c>
      <c r="AC336" s="39">
        <f t="shared" si="205"/>
        <v>6423.13</v>
      </c>
    </row>
    <row r="337" spans="1:29" ht="18.75">
      <c r="A337" s="431" t="s">
        <v>54</v>
      </c>
      <c r="B337" s="74">
        <f t="shared" si="188"/>
        <v>57760.73000000036</v>
      </c>
      <c r="C337" s="1457">
        <v>37931.1</v>
      </c>
      <c r="D337" s="447">
        <v>37951.31</v>
      </c>
      <c r="E337" s="74"/>
      <c r="F337" s="74">
        <f t="shared" si="192"/>
        <v>57740.52000000037</v>
      </c>
      <c r="G337" s="1451">
        <f t="shared" si="189"/>
        <v>2626.0400000000022</v>
      </c>
      <c r="H337" s="1120">
        <v>295.41</v>
      </c>
      <c r="I337" s="287">
        <f>3141.84+2658.69</f>
        <v>5800.530000000001</v>
      </c>
      <c r="J337" s="1450">
        <f t="shared" si="193"/>
        <v>-2879.0799999999986</v>
      </c>
      <c r="K337" s="274">
        <f t="shared" si="190"/>
        <v>0</v>
      </c>
      <c r="L337" s="1352"/>
      <c r="M337" s="1439"/>
      <c r="N337" s="108">
        <f t="shared" si="194"/>
        <v>0</v>
      </c>
      <c r="O337" s="274">
        <f t="shared" si="191"/>
        <v>-1101.32</v>
      </c>
      <c r="P337" s="1453">
        <v>21.62</v>
      </c>
      <c r="Q337" s="1454"/>
      <c r="R337" s="1455">
        <v>27.84</v>
      </c>
      <c r="S337" s="1452">
        <f t="shared" si="195"/>
        <v>-1107.54</v>
      </c>
      <c r="T337" s="800">
        <f t="shared" si="196"/>
        <v>27.84</v>
      </c>
      <c r="U337" s="801">
        <f t="shared" si="197"/>
        <v>0</v>
      </c>
      <c r="V337" s="801">
        <f t="shared" si="198"/>
        <v>5800.530000000001</v>
      </c>
      <c r="W337" s="802">
        <f t="shared" si="199"/>
        <v>5828.370000000001</v>
      </c>
      <c r="X337" s="295">
        <f t="shared" si="200"/>
        <v>38248.130000000005</v>
      </c>
      <c r="Y337" s="292">
        <f t="shared" si="201"/>
        <v>43779.67999999999</v>
      </c>
      <c r="Z337" s="583">
        <f t="shared" si="202"/>
        <v>37979.149999999994</v>
      </c>
      <c r="AA337">
        <f t="shared" si="203"/>
        <v>5800.530000000001</v>
      </c>
      <c r="AB337" s="39">
        <f t="shared" si="204"/>
        <v>295.41</v>
      </c>
      <c r="AC337" s="39">
        <f t="shared" si="205"/>
        <v>6095.9400000000005</v>
      </c>
    </row>
    <row r="338" spans="1:29" ht="18.75">
      <c r="A338" s="431" t="s">
        <v>49</v>
      </c>
      <c r="B338" s="74">
        <f t="shared" si="188"/>
        <v>212539.4500000002</v>
      </c>
      <c r="C338" s="1457">
        <v>80671.41</v>
      </c>
      <c r="D338" s="447">
        <v>77677.63</v>
      </c>
      <c r="E338" s="74"/>
      <c r="F338" s="74">
        <f t="shared" si="192"/>
        <v>215533.2300000002</v>
      </c>
      <c r="G338" s="1451">
        <f t="shared" si="189"/>
        <v>8194.220000000003</v>
      </c>
      <c r="H338" s="1120">
        <v>922.12</v>
      </c>
      <c r="I338" s="287">
        <f>9807.12+8299.08</f>
        <v>18106.2</v>
      </c>
      <c r="J338" s="1450">
        <f>G338+H338-I338</f>
        <v>-8989.859999999997</v>
      </c>
      <c r="K338" s="274">
        <f t="shared" si="190"/>
        <v>7345.990000000002</v>
      </c>
      <c r="L338" s="1352">
        <v>3411.59</v>
      </c>
      <c r="M338" s="1439">
        <v>4262.53</v>
      </c>
      <c r="N338" s="108">
        <f t="shared" si="194"/>
        <v>6495.050000000002</v>
      </c>
      <c r="O338" s="274">
        <f t="shared" si="191"/>
        <v>-799.7800000000002</v>
      </c>
      <c r="P338" s="1453">
        <v>72.02</v>
      </c>
      <c r="Q338" s="1454"/>
      <c r="R338" s="1455">
        <v>72.19</v>
      </c>
      <c r="S338" s="1452">
        <f t="shared" si="195"/>
        <v>-799.9500000000003</v>
      </c>
      <c r="T338" s="800">
        <f t="shared" si="196"/>
        <v>72.19</v>
      </c>
      <c r="U338" s="801">
        <f t="shared" si="197"/>
        <v>4262.53</v>
      </c>
      <c r="V338" s="801">
        <f t="shared" si="198"/>
        <v>18106.2</v>
      </c>
      <c r="W338" s="802">
        <f t="shared" si="199"/>
        <v>22440.92</v>
      </c>
      <c r="X338" s="295">
        <f>C338+H338+L338+P338</f>
        <v>85077.14</v>
      </c>
      <c r="Y338" s="292">
        <f t="shared" si="201"/>
        <v>100118.55</v>
      </c>
      <c r="Z338" s="583">
        <f t="shared" si="202"/>
        <v>77749.82</v>
      </c>
      <c r="AA338">
        <f t="shared" si="203"/>
        <v>22368.73</v>
      </c>
      <c r="AB338" s="39">
        <f t="shared" si="204"/>
        <v>6625.849999999999</v>
      </c>
      <c r="AC338" s="39">
        <f t="shared" si="205"/>
        <v>28994.579999999998</v>
      </c>
    </row>
    <row r="339" spans="1:29" ht="18.75">
      <c r="A339" s="431" t="s">
        <v>19</v>
      </c>
      <c r="B339" s="74">
        <f t="shared" si="188"/>
        <v>105891.66999999994</v>
      </c>
      <c r="C339" s="1457">
        <v>59503.47</v>
      </c>
      <c r="D339" s="447">
        <v>59565.46</v>
      </c>
      <c r="E339" s="74"/>
      <c r="F339" s="74">
        <f t="shared" si="192"/>
        <v>105829.67999999996</v>
      </c>
      <c r="G339" s="1451">
        <f t="shared" si="189"/>
        <v>3981.859999999998</v>
      </c>
      <c r="H339" s="1120">
        <v>402.45</v>
      </c>
      <c r="I339" s="287">
        <f>4280.28+3622.05</f>
        <v>7902.33</v>
      </c>
      <c r="J339" s="1450">
        <f t="shared" si="193"/>
        <v>-3518.0200000000023</v>
      </c>
      <c r="K339" s="274">
        <f t="shared" si="190"/>
        <v>1536.6200000000013</v>
      </c>
      <c r="L339" s="1352">
        <v>1175.67</v>
      </c>
      <c r="M339" s="1439">
        <v>1859.79</v>
      </c>
      <c r="N339" s="108">
        <f t="shared" si="194"/>
        <v>852.5000000000014</v>
      </c>
      <c r="O339" s="274">
        <f t="shared" si="191"/>
        <v>-98.84999999999964</v>
      </c>
      <c r="P339" s="1453">
        <v>106.73</v>
      </c>
      <c r="Q339" s="1454"/>
      <c r="R339" s="1455">
        <v>54.08</v>
      </c>
      <c r="S339" s="1452">
        <f t="shared" si="195"/>
        <v>-46.19999999999963</v>
      </c>
      <c r="T339" s="800">
        <f t="shared" si="196"/>
        <v>54.08</v>
      </c>
      <c r="U339" s="801">
        <f t="shared" si="197"/>
        <v>1859.79</v>
      </c>
      <c r="V339" s="801">
        <f t="shared" si="198"/>
        <v>7902.33</v>
      </c>
      <c r="W339" s="802">
        <f t="shared" si="199"/>
        <v>9816.2</v>
      </c>
      <c r="X339" s="295">
        <f aca="true" t="shared" si="206" ref="X339:X348">C339+H339+L339+P339</f>
        <v>61188.32</v>
      </c>
      <c r="Y339" s="292">
        <f t="shared" si="201"/>
        <v>69381.65999999999</v>
      </c>
      <c r="Z339" s="583">
        <f t="shared" si="202"/>
        <v>59619.54</v>
      </c>
      <c r="AA339">
        <f t="shared" si="203"/>
        <v>9762.119999999999</v>
      </c>
      <c r="AB339" s="39">
        <f t="shared" si="204"/>
        <v>1236.06</v>
      </c>
      <c r="AC339" s="39">
        <f t="shared" si="205"/>
        <v>10998.179999999998</v>
      </c>
    </row>
    <row r="340" spans="1:29" ht="18.75">
      <c r="A340" s="431" t="s">
        <v>20</v>
      </c>
      <c r="B340" s="74">
        <f t="shared" si="188"/>
        <v>70562.6100000001</v>
      </c>
      <c r="C340" s="1457">
        <v>38671.41</v>
      </c>
      <c r="D340" s="447">
        <v>37030.89</v>
      </c>
      <c r="E340" s="74"/>
      <c r="F340" s="74">
        <f t="shared" si="192"/>
        <v>72203.1300000001</v>
      </c>
      <c r="G340" s="1451">
        <f t="shared" si="189"/>
        <v>0</v>
      </c>
      <c r="H340" s="1121"/>
      <c r="I340" s="287"/>
      <c r="J340" s="1450">
        <f t="shared" si="193"/>
        <v>0</v>
      </c>
      <c r="K340" s="274">
        <f t="shared" si="190"/>
        <v>1010.8699999999992</v>
      </c>
      <c r="L340" s="1353">
        <v>777.4</v>
      </c>
      <c r="M340" s="1440">
        <v>777.4</v>
      </c>
      <c r="N340" s="108">
        <f t="shared" si="194"/>
        <v>1010.8699999999991</v>
      </c>
      <c r="O340" s="274">
        <f t="shared" si="191"/>
        <v>111.91999999999993</v>
      </c>
      <c r="P340" s="1453">
        <v>47.32</v>
      </c>
      <c r="Q340" s="1454"/>
      <c r="R340" s="1455">
        <v>44.92</v>
      </c>
      <c r="S340" s="1452">
        <f t="shared" si="195"/>
        <v>114.31999999999992</v>
      </c>
      <c r="T340" s="800">
        <f t="shared" si="196"/>
        <v>44.92</v>
      </c>
      <c r="U340" s="801">
        <f t="shared" si="197"/>
        <v>777.4</v>
      </c>
      <c r="V340" s="801">
        <f t="shared" si="198"/>
        <v>0</v>
      </c>
      <c r="W340" s="802">
        <f t="shared" si="199"/>
        <v>822.3199999999999</v>
      </c>
      <c r="X340" s="295">
        <f t="shared" si="206"/>
        <v>39496.130000000005</v>
      </c>
      <c r="Y340" s="292">
        <f t="shared" si="201"/>
        <v>37853.21</v>
      </c>
      <c r="Z340" s="583">
        <f t="shared" si="202"/>
        <v>37075.81</v>
      </c>
      <c r="AA340">
        <f t="shared" si="203"/>
        <v>777.4</v>
      </c>
      <c r="AB340" s="39">
        <f>U371+V371</f>
        <v>777.4</v>
      </c>
      <c r="AC340" s="39">
        <f t="shared" si="205"/>
        <v>1554.8</v>
      </c>
    </row>
    <row r="341" spans="1:29" ht="18.75">
      <c r="A341" s="431" t="s">
        <v>114</v>
      </c>
      <c r="B341" s="74">
        <f t="shared" si="188"/>
        <v>-443410.2400000004</v>
      </c>
      <c r="C341" s="1457">
        <v>47606.78</v>
      </c>
      <c r="D341" s="447">
        <v>52241.67</v>
      </c>
      <c r="E341" s="74"/>
      <c r="F341" s="74">
        <f t="shared" si="192"/>
        <v>-448045.1300000004</v>
      </c>
      <c r="G341" s="1451">
        <f t="shared" si="189"/>
        <v>-799</v>
      </c>
      <c r="H341" s="1449">
        <v>303.19</v>
      </c>
      <c r="I341" s="287">
        <f>3224.52+2728.71</f>
        <v>5953.23</v>
      </c>
      <c r="J341" s="1450">
        <f t="shared" si="193"/>
        <v>-6449.04</v>
      </c>
      <c r="K341" s="274">
        <f t="shared" si="190"/>
        <v>0</v>
      </c>
      <c r="L341" s="1352">
        <v>789.96</v>
      </c>
      <c r="M341" s="1440">
        <v>1579.92</v>
      </c>
      <c r="N341" s="108">
        <f t="shared" si="194"/>
        <v>-789.96</v>
      </c>
      <c r="O341" s="274">
        <f t="shared" si="191"/>
        <v>-51.70000000000001</v>
      </c>
      <c r="P341" s="1453">
        <v>103.14</v>
      </c>
      <c r="Q341" s="1454"/>
      <c r="R341" s="1455">
        <v>103.14</v>
      </c>
      <c r="S341" s="1452">
        <f t="shared" si="195"/>
        <v>-51.70000000000001</v>
      </c>
      <c r="T341" s="800">
        <f t="shared" si="196"/>
        <v>103.14</v>
      </c>
      <c r="U341" s="801">
        <f t="shared" si="197"/>
        <v>1579.92</v>
      </c>
      <c r="V341" s="801">
        <f t="shared" si="198"/>
        <v>5953.23</v>
      </c>
      <c r="W341" s="802">
        <f t="shared" si="199"/>
        <v>7636.29</v>
      </c>
      <c r="X341" s="295">
        <f t="shared" si="206"/>
        <v>48803.07</v>
      </c>
      <c r="Y341" s="292">
        <f t="shared" si="201"/>
        <v>59877.95999999999</v>
      </c>
      <c r="Z341" s="583">
        <f t="shared" si="202"/>
        <v>52344.81</v>
      </c>
      <c r="AA341">
        <f t="shared" si="203"/>
        <v>7533.15</v>
      </c>
      <c r="AB341" s="39">
        <f t="shared" si="204"/>
        <v>303.19</v>
      </c>
      <c r="AC341" s="39">
        <f t="shared" si="205"/>
        <v>7836.339999999999</v>
      </c>
    </row>
    <row r="342" spans="1:31" ht="19.5" customHeight="1">
      <c r="A342" s="431" t="s">
        <v>141</v>
      </c>
      <c r="B342" s="74">
        <f t="shared" si="188"/>
        <v>21633.21999999993</v>
      </c>
      <c r="C342" s="1457">
        <v>16815.18</v>
      </c>
      <c r="D342" s="1457">
        <v>17287.55</v>
      </c>
      <c r="E342" s="74"/>
      <c r="F342" s="74">
        <f t="shared" si="192"/>
        <v>21160.84999999993</v>
      </c>
      <c r="G342" s="1451">
        <f t="shared" si="189"/>
        <v>0</v>
      </c>
      <c r="H342" s="1122"/>
      <c r="I342" s="287"/>
      <c r="J342" s="1450">
        <f t="shared" si="193"/>
        <v>0</v>
      </c>
      <c r="K342" s="274">
        <f t="shared" si="190"/>
        <v>0</v>
      </c>
      <c r="L342" s="1354"/>
      <c r="M342" s="1440"/>
      <c r="N342" s="108">
        <f t="shared" si="194"/>
        <v>0</v>
      </c>
      <c r="O342" s="274">
        <f t="shared" si="191"/>
        <v>-2.670000000000016</v>
      </c>
      <c r="P342" s="1453">
        <v>15.69</v>
      </c>
      <c r="Q342" s="1454"/>
      <c r="R342" s="1455">
        <v>22.38</v>
      </c>
      <c r="S342" s="1452">
        <f t="shared" si="195"/>
        <v>-9.360000000000015</v>
      </c>
      <c r="T342" s="800">
        <f t="shared" si="196"/>
        <v>22.38</v>
      </c>
      <c r="U342" s="801">
        <f t="shared" si="197"/>
        <v>0</v>
      </c>
      <c r="V342" s="801">
        <f t="shared" si="198"/>
        <v>0</v>
      </c>
      <c r="W342" s="802">
        <f t="shared" si="199"/>
        <v>22.38</v>
      </c>
      <c r="X342" s="295">
        <f t="shared" si="206"/>
        <v>16830.87</v>
      </c>
      <c r="Y342" s="292">
        <f t="shared" si="201"/>
        <v>17309.93</v>
      </c>
      <c r="Z342" s="583">
        <f t="shared" si="202"/>
        <v>17309.93</v>
      </c>
      <c r="AA342">
        <f t="shared" si="203"/>
        <v>0</v>
      </c>
      <c r="AB342" s="39">
        <f t="shared" si="204"/>
        <v>0</v>
      </c>
      <c r="AC342" s="39">
        <f t="shared" si="205"/>
        <v>0</v>
      </c>
      <c r="AD342" s="11"/>
      <c r="AE342" s="11"/>
    </row>
    <row r="343" spans="1:31" ht="18.75">
      <c r="A343" s="708" t="s">
        <v>188</v>
      </c>
      <c r="B343" s="74">
        <f t="shared" si="188"/>
        <v>21937.699999999953</v>
      </c>
      <c r="C343" s="1458">
        <v>44632.98</v>
      </c>
      <c r="D343" s="1420">
        <v>48040.44</v>
      </c>
      <c r="E343" s="74"/>
      <c r="F343" s="74">
        <f t="shared" si="192"/>
        <v>18530.23999999996</v>
      </c>
      <c r="G343" s="1451">
        <f t="shared" si="189"/>
        <v>1361.4899999999989</v>
      </c>
      <c r="H343" s="1123">
        <v>382.12</v>
      </c>
      <c r="I343" s="258">
        <f>4064.04+3439.08</f>
        <v>7503.12</v>
      </c>
      <c r="J343" s="1450">
        <f t="shared" si="193"/>
        <v>-5759.510000000001</v>
      </c>
      <c r="K343" s="274">
        <f t="shared" si="190"/>
        <v>-56441.469999999994</v>
      </c>
      <c r="L343" s="1354">
        <v>2463.16</v>
      </c>
      <c r="M343" s="1439">
        <v>2463.16</v>
      </c>
      <c r="N343" s="108">
        <f t="shared" si="194"/>
        <v>-56441.47</v>
      </c>
      <c r="O343" s="274">
        <f t="shared" si="191"/>
        <v>-4848.990000000001</v>
      </c>
      <c r="P343" s="1453">
        <v>66.05</v>
      </c>
      <c r="Q343" s="1454"/>
      <c r="R343" s="1456">
        <v>66.05</v>
      </c>
      <c r="S343" s="1452">
        <f t="shared" si="195"/>
        <v>-4848.990000000001</v>
      </c>
      <c r="T343" s="800">
        <f t="shared" si="196"/>
        <v>66.05</v>
      </c>
      <c r="U343" s="801">
        <f t="shared" si="197"/>
        <v>2463.16</v>
      </c>
      <c r="V343" s="801">
        <f t="shared" si="198"/>
        <v>7503.12</v>
      </c>
      <c r="W343" s="802">
        <f t="shared" si="199"/>
        <v>10032.33</v>
      </c>
      <c r="X343" s="295">
        <f t="shared" si="206"/>
        <v>47544.31000000001</v>
      </c>
      <c r="Y343" s="292">
        <f t="shared" si="201"/>
        <v>58072.770000000004</v>
      </c>
      <c r="Z343" s="583">
        <f t="shared" si="202"/>
        <v>48106.490000000005</v>
      </c>
      <c r="AA343">
        <f t="shared" si="203"/>
        <v>9966.279999999999</v>
      </c>
      <c r="AB343" s="39">
        <f t="shared" si="204"/>
        <v>2845.2799999999997</v>
      </c>
      <c r="AC343" s="39">
        <f t="shared" si="205"/>
        <v>12811.559999999998</v>
      </c>
      <c r="AD343" s="757"/>
      <c r="AE343" s="758"/>
    </row>
    <row r="344" spans="1:31" ht="18.75">
      <c r="A344" s="709" t="s">
        <v>189</v>
      </c>
      <c r="B344" s="74">
        <f t="shared" si="188"/>
        <v>64857.34000000006</v>
      </c>
      <c r="C344" s="1458">
        <v>51798.79</v>
      </c>
      <c r="D344" s="1420">
        <v>49747.62</v>
      </c>
      <c r="E344" s="74"/>
      <c r="F344" s="74">
        <f t="shared" si="192"/>
        <v>66908.51000000007</v>
      </c>
      <c r="G344" s="1451">
        <f t="shared" si="189"/>
        <v>7839.720000000001</v>
      </c>
      <c r="H344" s="1123">
        <v>2127.68</v>
      </c>
      <c r="I344" s="258">
        <f>25395.48+19149.12</f>
        <v>44544.6</v>
      </c>
      <c r="J344" s="1450">
        <f t="shared" si="193"/>
        <v>-34577.2</v>
      </c>
      <c r="K344" s="274">
        <f t="shared" si="190"/>
        <v>-13814.22</v>
      </c>
      <c r="L344" s="1354">
        <v>791.15</v>
      </c>
      <c r="M344" s="1441">
        <v>3155.63</v>
      </c>
      <c r="N344" s="108">
        <f t="shared" si="194"/>
        <v>-16178.7</v>
      </c>
      <c r="O344" s="274">
        <f t="shared" si="191"/>
        <v>-48955.669999999984</v>
      </c>
      <c r="P344" s="1453">
        <v>90.83</v>
      </c>
      <c r="Q344" s="1454"/>
      <c r="R344" s="1456">
        <v>91.64</v>
      </c>
      <c r="S344" s="1452">
        <f t="shared" si="195"/>
        <v>-48956.47999999998</v>
      </c>
      <c r="T344" s="800">
        <f t="shared" si="196"/>
        <v>91.64</v>
      </c>
      <c r="U344" s="801">
        <f t="shared" si="197"/>
        <v>3155.63</v>
      </c>
      <c r="V344" s="801">
        <f t="shared" si="198"/>
        <v>44544.6</v>
      </c>
      <c r="W344" s="802">
        <f t="shared" si="199"/>
        <v>47791.869999999995</v>
      </c>
      <c r="X344" s="295">
        <f t="shared" si="206"/>
        <v>54808.450000000004</v>
      </c>
      <c r="Y344" s="292">
        <f t="shared" si="201"/>
        <v>97539.49</v>
      </c>
      <c r="Z344" s="583">
        <f t="shared" si="202"/>
        <v>49839.26</v>
      </c>
      <c r="AA344">
        <f t="shared" si="203"/>
        <v>47700.229999999996</v>
      </c>
      <c r="AB344" s="39">
        <f t="shared" si="204"/>
        <v>2918.83</v>
      </c>
      <c r="AC344" s="39">
        <f>AA344+AB344</f>
        <v>50619.06</v>
      </c>
      <c r="AD344" s="757"/>
      <c r="AE344" s="758"/>
    </row>
    <row r="345" spans="1:31" ht="18.75">
      <c r="A345" s="709" t="s">
        <v>218</v>
      </c>
      <c r="B345" s="74">
        <f t="shared" si="188"/>
        <v>108874.54000000004</v>
      </c>
      <c r="C345" s="1458">
        <v>47756.29</v>
      </c>
      <c r="D345" s="1420">
        <v>47163.29</v>
      </c>
      <c r="E345" s="74"/>
      <c r="F345" s="74">
        <f t="shared" si="192"/>
        <v>109467.54000000004</v>
      </c>
      <c r="G345" s="1451">
        <f t="shared" si="189"/>
        <v>0</v>
      </c>
      <c r="H345" s="1125"/>
      <c r="I345" s="258"/>
      <c r="J345" s="1450">
        <f t="shared" si="193"/>
        <v>0</v>
      </c>
      <c r="K345" s="274">
        <f t="shared" si="190"/>
        <v>-62945.81</v>
      </c>
      <c r="L345" s="1354">
        <v>2174.33</v>
      </c>
      <c r="M345" s="1441">
        <v>2174.33</v>
      </c>
      <c r="N345" s="108">
        <f t="shared" si="194"/>
        <v>-62945.81</v>
      </c>
      <c r="O345" s="274">
        <f t="shared" si="191"/>
        <v>-60553.490000000005</v>
      </c>
      <c r="P345" s="1453">
        <v>107.73</v>
      </c>
      <c r="Q345" s="1454"/>
      <c r="R345" s="1456">
        <v>119.19</v>
      </c>
      <c r="S345" s="1452">
        <f t="shared" si="195"/>
        <v>-60564.950000000004</v>
      </c>
      <c r="T345" s="800">
        <f t="shared" si="196"/>
        <v>119.19</v>
      </c>
      <c r="U345" s="801">
        <f t="shared" si="197"/>
        <v>2174.33</v>
      </c>
      <c r="V345" s="801">
        <f t="shared" si="198"/>
        <v>0</v>
      </c>
      <c r="W345" s="802">
        <f t="shared" si="199"/>
        <v>2293.52</v>
      </c>
      <c r="X345" s="295">
        <f t="shared" si="206"/>
        <v>50038.350000000006</v>
      </c>
      <c r="Y345" s="292">
        <f t="shared" si="201"/>
        <v>49456.810000000005</v>
      </c>
      <c r="Z345" s="583">
        <f t="shared" si="202"/>
        <v>47282.48</v>
      </c>
      <c r="AA345">
        <f t="shared" si="203"/>
        <v>2174.33</v>
      </c>
      <c r="AB345" s="39">
        <f t="shared" si="204"/>
        <v>0</v>
      </c>
      <c r="AC345" s="39">
        <f t="shared" si="205"/>
        <v>2174.33</v>
      </c>
      <c r="AD345" s="757"/>
      <c r="AE345" s="758"/>
    </row>
    <row r="346" spans="1:31" ht="18.75">
      <c r="A346" s="709" t="s">
        <v>250</v>
      </c>
      <c r="B346" s="74">
        <f t="shared" si="188"/>
        <v>32584.83000000001</v>
      </c>
      <c r="C346" s="1458">
        <v>17768.29</v>
      </c>
      <c r="D346" s="1420">
        <v>22187.28</v>
      </c>
      <c r="E346" s="74"/>
      <c r="F346" s="74">
        <f t="shared" si="192"/>
        <v>28165.84000000001</v>
      </c>
      <c r="G346" s="1451">
        <f t="shared" si="189"/>
        <v>0</v>
      </c>
      <c r="H346" s="1125"/>
      <c r="I346" s="258"/>
      <c r="J346" s="1450">
        <f t="shared" si="193"/>
        <v>0</v>
      </c>
      <c r="K346" s="274">
        <f t="shared" si="190"/>
        <v>0</v>
      </c>
      <c r="L346" s="1354"/>
      <c r="M346" s="1441"/>
      <c r="N346" s="108">
        <f t="shared" si="194"/>
        <v>0</v>
      </c>
      <c r="O346" s="274">
        <f t="shared" si="191"/>
        <v>-3722.07</v>
      </c>
      <c r="P346" s="1453">
        <v>58.36</v>
      </c>
      <c r="Q346" s="1454"/>
      <c r="R346" s="1456">
        <v>56.64</v>
      </c>
      <c r="S346" s="1452">
        <f t="shared" si="195"/>
        <v>-3720.35</v>
      </c>
      <c r="T346" s="800">
        <f t="shared" si="196"/>
        <v>56.64</v>
      </c>
      <c r="U346" s="801">
        <f t="shared" si="197"/>
        <v>0</v>
      </c>
      <c r="V346" s="801">
        <f t="shared" si="198"/>
        <v>0</v>
      </c>
      <c r="W346" s="802">
        <f t="shared" si="199"/>
        <v>56.64</v>
      </c>
      <c r="X346" s="295">
        <f t="shared" si="206"/>
        <v>17826.65</v>
      </c>
      <c r="Y346" s="292">
        <f t="shared" si="201"/>
        <v>22243.92</v>
      </c>
      <c r="Z346" s="583">
        <f t="shared" si="202"/>
        <v>22243.92</v>
      </c>
      <c r="AA346">
        <f t="shared" si="203"/>
        <v>0</v>
      </c>
      <c r="AB346" s="39">
        <f t="shared" si="204"/>
        <v>0</v>
      </c>
      <c r="AC346" s="39">
        <f t="shared" si="205"/>
        <v>0</v>
      </c>
      <c r="AD346" s="757"/>
      <c r="AE346" s="758"/>
    </row>
    <row r="347" spans="1:31" ht="18.75">
      <c r="A347" s="709" t="s">
        <v>303</v>
      </c>
      <c r="B347" s="74">
        <f t="shared" si="188"/>
        <v>284094.1299999998</v>
      </c>
      <c r="C347" s="1458">
        <v>62851.63</v>
      </c>
      <c r="D347" s="1420">
        <v>58230.1</v>
      </c>
      <c r="E347" s="74"/>
      <c r="F347" s="74">
        <f t="shared" si="192"/>
        <v>288715.6599999998</v>
      </c>
      <c r="G347" s="1451">
        <f t="shared" si="189"/>
        <v>0</v>
      </c>
      <c r="H347" s="1126"/>
      <c r="I347" s="258"/>
      <c r="J347" s="1450">
        <f t="shared" si="193"/>
        <v>0</v>
      </c>
      <c r="K347" s="274">
        <f t="shared" si="190"/>
        <v>0</v>
      </c>
      <c r="L347" s="1408">
        <v>1889.09</v>
      </c>
      <c r="M347" s="1441">
        <v>1889.09</v>
      </c>
      <c r="N347" s="108">
        <f t="shared" si="194"/>
        <v>0</v>
      </c>
      <c r="O347" s="274">
        <f t="shared" si="191"/>
        <v>-4784.950000000001</v>
      </c>
      <c r="P347" s="1453">
        <v>47.82</v>
      </c>
      <c r="Q347" s="1454"/>
      <c r="R347" s="1456">
        <v>40.09</v>
      </c>
      <c r="S347" s="1452">
        <f t="shared" si="195"/>
        <v>-4777.220000000001</v>
      </c>
      <c r="T347" s="800">
        <f t="shared" si="196"/>
        <v>40.09</v>
      </c>
      <c r="U347" s="801">
        <f t="shared" si="197"/>
        <v>1889.09</v>
      </c>
      <c r="V347" s="801">
        <f t="shared" si="198"/>
        <v>0</v>
      </c>
      <c r="W347" s="802">
        <f t="shared" si="199"/>
        <v>1929.1799999999998</v>
      </c>
      <c r="X347" s="295">
        <f t="shared" si="206"/>
        <v>64788.53999999999</v>
      </c>
      <c r="Y347" s="292">
        <f t="shared" si="201"/>
        <v>60159.27999999999</v>
      </c>
      <c r="Z347" s="583">
        <f t="shared" si="202"/>
        <v>58270.189999999995</v>
      </c>
      <c r="AA347">
        <f t="shared" si="203"/>
        <v>1889.09</v>
      </c>
      <c r="AB347" s="39">
        <f t="shared" si="204"/>
        <v>1889.09</v>
      </c>
      <c r="AC347" s="39">
        <f t="shared" si="205"/>
        <v>3778.18</v>
      </c>
      <c r="AD347" s="757"/>
      <c r="AE347" s="758"/>
    </row>
    <row r="348" spans="1:31" ht="18.75">
      <c r="A348" s="709" t="s">
        <v>317</v>
      </c>
      <c r="B348" s="74">
        <f t="shared" si="188"/>
        <v>230384.2099999999</v>
      </c>
      <c r="C348" s="1458">
        <v>63992.51</v>
      </c>
      <c r="D348" s="1420">
        <v>91041.46</v>
      </c>
      <c r="E348" s="74"/>
      <c r="F348" s="74">
        <f t="shared" si="192"/>
        <v>203335.2599999999</v>
      </c>
      <c r="G348" s="1451">
        <f t="shared" si="189"/>
        <v>0</v>
      </c>
      <c r="H348" s="1127"/>
      <c r="I348" s="258"/>
      <c r="J348" s="1450">
        <f t="shared" si="193"/>
        <v>0</v>
      </c>
      <c r="K348" s="274">
        <f t="shared" si="190"/>
        <v>1392.1500000000005</v>
      </c>
      <c r="L348" s="1352">
        <v>6247.31</v>
      </c>
      <c r="M348" s="1441">
        <v>5965.05</v>
      </c>
      <c r="N348" s="108">
        <f t="shared" si="194"/>
        <v>1674.4100000000008</v>
      </c>
      <c r="O348" s="274">
        <f t="shared" si="191"/>
        <v>-11016.89</v>
      </c>
      <c r="P348" s="1453">
        <v>640.28</v>
      </c>
      <c r="Q348" s="1454"/>
      <c r="R348" s="1456">
        <f>383.38+6418.16</f>
        <v>6801.54</v>
      </c>
      <c r="S348" s="1452">
        <f t="shared" si="195"/>
        <v>-17178.149999999998</v>
      </c>
      <c r="T348" s="800">
        <f t="shared" si="196"/>
        <v>6801.54</v>
      </c>
      <c r="U348" s="801">
        <f t="shared" si="197"/>
        <v>5965.05</v>
      </c>
      <c r="V348" s="801">
        <f t="shared" si="198"/>
        <v>0</v>
      </c>
      <c r="W348" s="802">
        <f t="shared" si="199"/>
        <v>12766.59</v>
      </c>
      <c r="X348" s="295">
        <f t="shared" si="206"/>
        <v>70880.1</v>
      </c>
      <c r="Y348" s="292">
        <f t="shared" si="201"/>
        <v>103808.05</v>
      </c>
      <c r="Z348" s="583">
        <f t="shared" si="202"/>
        <v>97843</v>
      </c>
      <c r="AA348">
        <f t="shared" si="203"/>
        <v>5965.05</v>
      </c>
      <c r="AB348" s="39">
        <f t="shared" si="204"/>
        <v>6811.83</v>
      </c>
      <c r="AC348" s="39">
        <f t="shared" si="205"/>
        <v>12776.880000000001</v>
      </c>
      <c r="AD348" s="757"/>
      <c r="AE348" s="758"/>
    </row>
    <row r="349" spans="1:31" ht="38.25" customHeight="1">
      <c r="A349" s="1365" t="s">
        <v>127</v>
      </c>
      <c r="B349" s="1360">
        <f aca="true" t="shared" si="207" ref="B349:Z349">SUM(B322:B348)</f>
        <v>2275602.3400000017</v>
      </c>
      <c r="C349" s="1366">
        <f t="shared" si="207"/>
        <v>1072635.7300000002</v>
      </c>
      <c r="D349" s="1384">
        <f t="shared" si="207"/>
        <v>1095089.03</v>
      </c>
      <c r="E349" s="1360">
        <f t="shared" si="207"/>
        <v>0</v>
      </c>
      <c r="F349" s="1360">
        <f t="shared" si="207"/>
        <v>2253149.040000002</v>
      </c>
      <c r="G349" s="1360">
        <f t="shared" si="207"/>
        <v>78050.87999999996</v>
      </c>
      <c r="H349" s="1410">
        <f t="shared" si="207"/>
        <v>10373.919999999998</v>
      </c>
      <c r="I349" s="1360">
        <f t="shared" si="207"/>
        <v>208465.98</v>
      </c>
      <c r="J349" s="1360">
        <f t="shared" si="207"/>
        <v>-120041.18000000004</v>
      </c>
      <c r="K349" s="1360">
        <f t="shared" si="207"/>
        <v>-100530.44999999998</v>
      </c>
      <c r="L349" s="1368">
        <f>SUM(L322:L348)</f>
        <v>38463.86</v>
      </c>
      <c r="M349" s="1369">
        <f t="shared" si="207"/>
        <v>103021.51999999999</v>
      </c>
      <c r="N349" s="1360">
        <f t="shared" si="207"/>
        <v>-165088.11</v>
      </c>
      <c r="O349" s="1360">
        <f t="shared" si="207"/>
        <v>-137204.34999999998</v>
      </c>
      <c r="P349" s="1362">
        <f t="shared" si="207"/>
        <v>2253.2199999999993</v>
      </c>
      <c r="Q349" s="1362">
        <f t="shared" si="207"/>
        <v>0</v>
      </c>
      <c r="R349" s="1362">
        <f t="shared" si="207"/>
        <v>8555.84</v>
      </c>
      <c r="S349" s="1360">
        <f t="shared" si="207"/>
        <v>-143506.97</v>
      </c>
      <c r="T349" s="1370">
        <f t="shared" si="207"/>
        <v>8555.84</v>
      </c>
      <c r="U349" s="1370">
        <f t="shared" si="207"/>
        <v>103021.51999999999</v>
      </c>
      <c r="V349" s="1370">
        <f t="shared" si="207"/>
        <v>208465.98</v>
      </c>
      <c r="W349" s="1370">
        <f t="shared" si="207"/>
        <v>320043.3400000001</v>
      </c>
      <c r="X349" s="1360">
        <f t="shared" si="207"/>
        <v>1123726.73</v>
      </c>
      <c r="Y349" s="1360">
        <f t="shared" si="207"/>
        <v>1415132.37</v>
      </c>
      <c r="Z349" s="583">
        <f t="shared" si="207"/>
        <v>1103644.87</v>
      </c>
      <c r="AA349" s="11">
        <f>SUM(AA322:AA348)</f>
        <v>311487.5</v>
      </c>
      <c r="AB349" s="833">
        <f>SUM(AB322:AB348)</f>
        <v>44977.71</v>
      </c>
      <c r="AC349" s="833">
        <f>SUM(AC322:AC348)</f>
        <v>356465.21</v>
      </c>
      <c r="AD349" s="11"/>
      <c r="AE349" s="11"/>
    </row>
    <row r="350" spans="1:30" ht="48" customHeight="1" thickBot="1">
      <c r="A350" s="68"/>
      <c r="B350" s="69" t="s">
        <v>466</v>
      </c>
      <c r="C350" s="69"/>
      <c r="D350" s="69"/>
      <c r="E350" s="69"/>
      <c r="F350" s="68"/>
      <c r="G350" s="240"/>
      <c r="H350" s="4"/>
      <c r="I350" s="240" t="s">
        <v>59</v>
      </c>
      <c r="J350" s="5"/>
      <c r="K350" s="6"/>
      <c r="L350" s="5"/>
      <c r="O350" s="2"/>
      <c r="Q350" s="236" t="s">
        <v>59</v>
      </c>
      <c r="T350" s="11"/>
      <c r="U350" s="11"/>
      <c r="V350" s="11"/>
      <c r="W350" s="11"/>
      <c r="AB350" s="1676" t="s">
        <v>479</v>
      </c>
      <c r="AC350" s="1676"/>
      <c r="AD350" s="1676"/>
    </row>
    <row r="351" spans="1:31" ht="18.75">
      <c r="A351" s="408" t="s">
        <v>142</v>
      </c>
      <c r="B351" s="1670" t="s">
        <v>225</v>
      </c>
      <c r="C351" s="1664" t="s">
        <v>2</v>
      </c>
      <c r="D351" s="1665"/>
      <c r="E351" s="1665"/>
      <c r="F351" s="1666"/>
      <c r="G351" s="85" t="s">
        <v>27</v>
      </c>
      <c r="H351" s="1664" t="s">
        <v>3</v>
      </c>
      <c r="I351" s="1665"/>
      <c r="J351" s="1666"/>
      <c r="K351" s="88" t="s">
        <v>27</v>
      </c>
      <c r="L351" s="1608" t="s">
        <v>4</v>
      </c>
      <c r="M351" s="1608"/>
      <c r="N351" s="1608"/>
      <c r="O351" s="84" t="s">
        <v>27</v>
      </c>
      <c r="P351" s="1608" t="s">
        <v>23</v>
      </c>
      <c r="Q351" s="1608"/>
      <c r="R351" s="1608"/>
      <c r="S351" s="1608"/>
      <c r="T351" s="1579" t="s">
        <v>469</v>
      </c>
      <c r="U351" s="1580"/>
      <c r="V351" s="1580"/>
      <c r="W351" s="1580"/>
      <c r="X351" s="41"/>
      <c r="Y351" s="41"/>
      <c r="Z351" s="582"/>
      <c r="AB351" s="1571" t="s">
        <v>229</v>
      </c>
      <c r="AC351" s="1572"/>
      <c r="AD351" s="550"/>
      <c r="AE351" s="550"/>
    </row>
    <row r="352" spans="1:31" ht="54">
      <c r="A352" s="111" t="s">
        <v>1</v>
      </c>
      <c r="B352" s="1671"/>
      <c r="C352" s="81" t="s">
        <v>5</v>
      </c>
      <c r="D352" s="81" t="s">
        <v>6</v>
      </c>
      <c r="E352" s="81" t="s">
        <v>65</v>
      </c>
      <c r="F352" s="81" t="s">
        <v>226</v>
      </c>
      <c r="G352" s="86" t="s">
        <v>225</v>
      </c>
      <c r="H352" s="1201" t="s">
        <v>5</v>
      </c>
      <c r="I352" s="1201" t="s">
        <v>6</v>
      </c>
      <c r="J352" s="243" t="s">
        <v>227</v>
      </c>
      <c r="K352" s="1196" t="s">
        <v>101</v>
      </c>
      <c r="L352" s="1196" t="s">
        <v>5</v>
      </c>
      <c r="M352" s="1196" t="s">
        <v>6</v>
      </c>
      <c r="N352" s="1196" t="s">
        <v>224</v>
      </c>
      <c r="O352" s="1204" t="s">
        <v>225</v>
      </c>
      <c r="P352" s="1204" t="s">
        <v>5</v>
      </c>
      <c r="Q352" s="1204" t="s">
        <v>64</v>
      </c>
      <c r="R352" s="1204" t="s">
        <v>102</v>
      </c>
      <c r="S352" s="1204" t="s">
        <v>224</v>
      </c>
      <c r="T352" s="244" t="s">
        <v>113</v>
      </c>
      <c r="U352" s="239" t="s">
        <v>69</v>
      </c>
      <c r="V352" s="239" t="s">
        <v>95</v>
      </c>
      <c r="W352" s="71" t="s">
        <v>100</v>
      </c>
      <c r="X352" s="585" t="s">
        <v>109</v>
      </c>
      <c r="Y352" s="585" t="s">
        <v>110</v>
      </c>
      <c r="Z352" s="582" t="s">
        <v>162</v>
      </c>
      <c r="AB352" s="619" t="s">
        <v>112</v>
      </c>
      <c r="AC352" s="1470" t="s">
        <v>480</v>
      </c>
      <c r="AD352" s="772"/>
      <c r="AE352" s="773"/>
    </row>
    <row r="353" spans="1:31" ht="18.75">
      <c r="A353" s="73" t="s">
        <v>47</v>
      </c>
      <c r="B353" s="74">
        <f aca="true" t="shared" si="208" ref="B353:B379">F322</f>
        <v>113474.61999999995</v>
      </c>
      <c r="C353" s="1457">
        <v>15347.67</v>
      </c>
      <c r="D353" s="314">
        <v>13650.64</v>
      </c>
      <c r="E353" s="74"/>
      <c r="F353" s="74">
        <f aca="true" t="shared" si="209" ref="F353:F379">B353+C353-D353</f>
        <v>115171.64999999995</v>
      </c>
      <c r="G353" s="297">
        <f aca="true" t="shared" si="210" ref="G353:G379">J322</f>
        <v>-9719.85000000002</v>
      </c>
      <c r="H353" s="1448">
        <v>1219.32</v>
      </c>
      <c r="I353" s="305">
        <v>1219.32</v>
      </c>
      <c r="J353" s="306">
        <f>G353+H353-I353</f>
        <v>-9719.85000000002</v>
      </c>
      <c r="K353" s="298">
        <f aca="true" t="shared" si="211" ref="K353:K379">N322</f>
        <v>-545.3099999999995</v>
      </c>
      <c r="L353" s="1328">
        <v>4819.88</v>
      </c>
      <c r="M353" s="1442">
        <v>4819.88</v>
      </c>
      <c r="N353" s="302">
        <f>K353+L353-M353</f>
        <v>-545.3099999999995</v>
      </c>
      <c r="O353" s="299">
        <f aca="true" t="shared" si="212" ref="O353:O379">S322</f>
        <v>-1510.81</v>
      </c>
      <c r="P353" s="1466">
        <v>35.87</v>
      </c>
      <c r="Q353" s="1466"/>
      <c r="R353" s="1466">
        <v>64.21</v>
      </c>
      <c r="S353" s="1467">
        <f aca="true" t="shared" si="213" ref="S353:S379">O353+P353-R353</f>
        <v>-1539.15</v>
      </c>
      <c r="T353" s="296">
        <f>R353</f>
        <v>64.21</v>
      </c>
      <c r="U353" s="296">
        <f>M353</f>
        <v>4819.88</v>
      </c>
      <c r="V353" s="307">
        <f>I353</f>
        <v>1219.32</v>
      </c>
      <c r="W353" s="804">
        <f>T353+U353+V353</f>
        <v>6103.41</v>
      </c>
      <c r="X353" s="295">
        <f>C353+H353+L353+P353</f>
        <v>21422.74</v>
      </c>
      <c r="Y353" s="292">
        <f>D353+I353+M353+R353</f>
        <v>19754.05</v>
      </c>
      <c r="Z353" s="584">
        <f>D353+R353</f>
        <v>13714.849999999999</v>
      </c>
      <c r="AB353" s="8">
        <f aca="true" t="shared" si="214" ref="AB353:AB379">AC289+X322+X353</f>
        <v>64297.86</v>
      </c>
      <c r="AC353" s="8">
        <f>AE289+Z322+Z353+AB289+AC322</f>
        <v>115520.5</v>
      </c>
      <c r="AD353" s="774"/>
      <c r="AE353" s="774"/>
    </row>
    <row r="354" spans="1:31" ht="18.75">
      <c r="A354" s="73" t="s">
        <v>53</v>
      </c>
      <c r="B354" s="74">
        <f t="shared" si="208"/>
        <v>127408.18000000027</v>
      </c>
      <c r="C354" s="1457">
        <v>33877.29</v>
      </c>
      <c r="D354" s="314">
        <v>28918.94</v>
      </c>
      <c r="E354" s="74"/>
      <c r="F354" s="74">
        <f t="shared" si="209"/>
        <v>132366.53000000026</v>
      </c>
      <c r="G354" s="297">
        <f t="shared" si="210"/>
        <v>-2842.4000000000005</v>
      </c>
      <c r="H354" s="1448">
        <v>294.05</v>
      </c>
      <c r="I354" s="305">
        <v>294.05</v>
      </c>
      <c r="J354" s="306">
        <f aca="true" t="shared" si="215" ref="J354:J379">G354+H354-I354</f>
        <v>-2842.4000000000005</v>
      </c>
      <c r="K354" s="298">
        <f t="shared" si="211"/>
        <v>-3623.4</v>
      </c>
      <c r="L354" s="1328">
        <v>137.45</v>
      </c>
      <c r="M354" s="1442">
        <v>137.45</v>
      </c>
      <c r="N354" s="302">
        <f aca="true" t="shared" si="216" ref="N354:N379">K354+L354-M354</f>
        <v>-3623.4</v>
      </c>
      <c r="O354" s="299">
        <f t="shared" si="212"/>
        <v>136.67000000000004</v>
      </c>
      <c r="P354" s="1466">
        <v>86.78</v>
      </c>
      <c r="Q354" s="1466"/>
      <c r="R354" s="1466">
        <v>54.89</v>
      </c>
      <c r="S354" s="1467">
        <f t="shared" si="213"/>
        <v>168.56000000000006</v>
      </c>
      <c r="T354" s="296">
        <f aca="true" t="shared" si="217" ref="T354:T378">R354</f>
        <v>54.89</v>
      </c>
      <c r="U354" s="296">
        <f aca="true" t="shared" si="218" ref="U354:U379">M354</f>
        <v>137.45</v>
      </c>
      <c r="V354" s="307">
        <f aca="true" t="shared" si="219" ref="V354:V379">I354</f>
        <v>294.05</v>
      </c>
      <c r="W354" s="805">
        <f aca="true" t="shared" si="220" ref="W354:W380">T354+U354+V354</f>
        <v>486.39</v>
      </c>
      <c r="X354" s="295">
        <f aca="true" t="shared" si="221" ref="X354:X379">C354+H354+L354+P354</f>
        <v>34395.57</v>
      </c>
      <c r="Y354" s="292">
        <f aca="true" t="shared" si="222" ref="Y354:Y377">D354+I354+M354+R354</f>
        <v>29405.329999999998</v>
      </c>
      <c r="Z354" s="584">
        <f aca="true" t="shared" si="223" ref="Z354:Z379">D354+R354</f>
        <v>28973.829999999998</v>
      </c>
      <c r="AB354" s="8">
        <f t="shared" si="214"/>
        <v>103172.17000000001</v>
      </c>
      <c r="AC354" s="8">
        <f>AE290+Z323+Z354+AB290+AC323</f>
        <v>107378.62</v>
      </c>
      <c r="AD354" s="775"/>
      <c r="AE354" s="774"/>
    </row>
    <row r="355" spans="1:31" ht="18.75">
      <c r="A355" s="73" t="s">
        <v>8</v>
      </c>
      <c r="B355" s="74">
        <f t="shared" si="208"/>
        <v>74445.62</v>
      </c>
      <c r="C355" s="1457"/>
      <c r="D355" s="314"/>
      <c r="E355" s="74"/>
      <c r="F355" s="74">
        <f t="shared" si="209"/>
        <v>74445.62</v>
      </c>
      <c r="G355" s="297">
        <f t="shared" si="210"/>
        <v>0</v>
      </c>
      <c r="H355" s="1119"/>
      <c r="I355" s="305"/>
      <c r="J355" s="306">
        <f t="shared" si="215"/>
        <v>0</v>
      </c>
      <c r="K355" s="298">
        <f t="shared" si="211"/>
        <v>0</v>
      </c>
      <c r="L355" s="1328"/>
      <c r="M355" s="1443"/>
      <c r="N355" s="302">
        <f t="shared" si="216"/>
        <v>0</v>
      </c>
      <c r="O355" s="299">
        <f t="shared" si="212"/>
        <v>0</v>
      </c>
      <c r="P355" s="1468"/>
      <c r="Q355" s="1468"/>
      <c r="R355" s="1468"/>
      <c r="S355" s="1467">
        <f t="shared" si="213"/>
        <v>0</v>
      </c>
      <c r="T355" s="296">
        <f t="shared" si="217"/>
        <v>0</v>
      </c>
      <c r="U355" s="296">
        <f t="shared" si="218"/>
        <v>0</v>
      </c>
      <c r="V355" s="307">
        <f t="shared" si="219"/>
        <v>0</v>
      </c>
      <c r="W355" s="805">
        <f t="shared" si="220"/>
        <v>0</v>
      </c>
      <c r="X355" s="295">
        <f t="shared" si="221"/>
        <v>0</v>
      </c>
      <c r="Y355" s="292">
        <f t="shared" si="222"/>
        <v>0</v>
      </c>
      <c r="Z355" s="584">
        <f t="shared" si="223"/>
        <v>0</v>
      </c>
      <c r="AB355" s="8">
        <f t="shared" si="214"/>
        <v>0</v>
      </c>
      <c r="AC355" s="8">
        <f aca="true" t="shared" si="224" ref="AC355:AC379">AE291+Z324+Z355+AB291+AC324</f>
        <v>0</v>
      </c>
      <c r="AD355" s="775"/>
      <c r="AE355" s="774"/>
    </row>
    <row r="356" spans="1:31" ht="18.75">
      <c r="A356" s="73" t="s">
        <v>48</v>
      </c>
      <c r="B356" s="74">
        <f t="shared" si="208"/>
        <v>397000.69000000024</v>
      </c>
      <c r="C356" s="1457">
        <v>81815.35</v>
      </c>
      <c r="D356" s="314">
        <v>79842.07</v>
      </c>
      <c r="E356" s="74"/>
      <c r="F356" s="74">
        <f t="shared" si="209"/>
        <v>398973.97000000026</v>
      </c>
      <c r="G356" s="297">
        <f t="shared" si="210"/>
        <v>-13659.690000000002</v>
      </c>
      <c r="H356" s="1120">
        <v>1401.11</v>
      </c>
      <c r="I356" s="305">
        <v>1401.11</v>
      </c>
      <c r="J356" s="306">
        <f t="shared" si="215"/>
        <v>-13659.690000000002</v>
      </c>
      <c r="K356" s="298">
        <f t="shared" si="211"/>
        <v>-2419.979999999999</v>
      </c>
      <c r="L356" s="1328">
        <v>1696.52</v>
      </c>
      <c r="M356" s="1443">
        <v>905.37</v>
      </c>
      <c r="N356" s="302">
        <f t="shared" si="216"/>
        <v>-1628.829999999999</v>
      </c>
      <c r="O356" s="299">
        <f t="shared" si="212"/>
        <v>-1833.2399999999993</v>
      </c>
      <c r="P356" s="1468">
        <v>137.77</v>
      </c>
      <c r="Q356" s="1468"/>
      <c r="R356" s="1468">
        <v>147.54</v>
      </c>
      <c r="S356" s="1467">
        <f t="shared" si="213"/>
        <v>-1843.0099999999993</v>
      </c>
      <c r="T356" s="296">
        <f t="shared" si="217"/>
        <v>147.54</v>
      </c>
      <c r="U356" s="296">
        <f t="shared" si="218"/>
        <v>905.37</v>
      </c>
      <c r="V356" s="307">
        <f t="shared" si="219"/>
        <v>1401.11</v>
      </c>
      <c r="W356" s="805">
        <f t="shared" si="220"/>
        <v>2454.02</v>
      </c>
      <c r="X356" s="295">
        <f t="shared" si="221"/>
        <v>85050.75000000001</v>
      </c>
      <c r="Y356" s="292">
        <f t="shared" si="222"/>
        <v>82296.09</v>
      </c>
      <c r="Z356" s="584">
        <f t="shared" si="223"/>
        <v>79989.61</v>
      </c>
      <c r="AB356" s="8">
        <f t="shared" si="214"/>
        <v>255388.41000000003</v>
      </c>
      <c r="AC356" s="8">
        <f t="shared" si="224"/>
        <v>299203.50999999995</v>
      </c>
      <c r="AD356" s="775"/>
      <c r="AE356" s="774"/>
    </row>
    <row r="357" spans="1:31" ht="18.75">
      <c r="A357" s="73" t="s">
        <v>9</v>
      </c>
      <c r="B357" s="74">
        <f t="shared" si="208"/>
        <v>138995.63</v>
      </c>
      <c r="C357" s="1457">
        <v>20339.47</v>
      </c>
      <c r="D357" s="314">
        <v>19989.98</v>
      </c>
      <c r="E357" s="74"/>
      <c r="F357" s="74">
        <f t="shared" si="209"/>
        <v>139345.12</v>
      </c>
      <c r="G357" s="297">
        <f t="shared" si="210"/>
        <v>-17175.710000000014</v>
      </c>
      <c r="H357" s="1120">
        <f>1508.75+112.42</f>
        <v>1621.17</v>
      </c>
      <c r="I357" s="305">
        <v>1621.17</v>
      </c>
      <c r="J357" s="306">
        <f t="shared" si="215"/>
        <v>-17175.710000000014</v>
      </c>
      <c r="K357" s="298">
        <f t="shared" si="211"/>
        <v>0</v>
      </c>
      <c r="L357" s="1328"/>
      <c r="M357" s="1443"/>
      <c r="N357" s="302">
        <f t="shared" si="216"/>
        <v>0</v>
      </c>
      <c r="O357" s="299">
        <f t="shared" si="212"/>
        <v>1091.4299999999996</v>
      </c>
      <c r="P357" s="1468">
        <v>258.33</v>
      </c>
      <c r="Q357" s="1468"/>
      <c r="R357" s="1468">
        <v>258.33</v>
      </c>
      <c r="S357" s="1467">
        <f t="shared" si="213"/>
        <v>1091.4299999999996</v>
      </c>
      <c r="T357" s="296">
        <f t="shared" si="217"/>
        <v>258.33</v>
      </c>
      <c r="U357" s="296">
        <f t="shared" si="218"/>
        <v>0</v>
      </c>
      <c r="V357" s="307">
        <f t="shared" si="219"/>
        <v>1621.17</v>
      </c>
      <c r="W357" s="805">
        <f t="shared" si="220"/>
        <v>1879.5</v>
      </c>
      <c r="X357" s="295">
        <f t="shared" si="221"/>
        <v>22218.97</v>
      </c>
      <c r="Y357" s="292">
        <f t="shared" si="222"/>
        <v>21869.480000000003</v>
      </c>
      <c r="Z357" s="584">
        <f t="shared" si="223"/>
        <v>20248.31</v>
      </c>
      <c r="AB357" s="8">
        <f t="shared" si="214"/>
        <v>66239.99</v>
      </c>
      <c r="AC357" s="8">
        <f t="shared" si="224"/>
        <v>114957.04</v>
      </c>
      <c r="AD357" s="775"/>
      <c r="AE357" s="774"/>
    </row>
    <row r="358" spans="1:31" ht="18.75">
      <c r="A358" s="73" t="s">
        <v>10</v>
      </c>
      <c r="B358" s="74">
        <f t="shared" si="208"/>
        <v>10427.4400000001</v>
      </c>
      <c r="C358" s="1457">
        <v>8796.01</v>
      </c>
      <c r="D358" s="314">
        <v>9074.84</v>
      </c>
      <c r="E358" s="74"/>
      <c r="F358" s="74">
        <f t="shared" si="209"/>
        <v>10148.610000000099</v>
      </c>
      <c r="G358" s="297">
        <f t="shared" si="210"/>
        <v>0</v>
      </c>
      <c r="H358" s="1119"/>
      <c r="I358" s="305"/>
      <c r="J358" s="306">
        <f t="shared" si="215"/>
        <v>0</v>
      </c>
      <c r="K358" s="298">
        <f t="shared" si="211"/>
        <v>0</v>
      </c>
      <c r="L358" s="1328"/>
      <c r="M358" s="1443"/>
      <c r="N358" s="302">
        <f t="shared" si="216"/>
        <v>0</v>
      </c>
      <c r="O358" s="299">
        <f t="shared" si="212"/>
        <v>47.67999999999999</v>
      </c>
      <c r="P358" s="1468">
        <v>21.22</v>
      </c>
      <c r="Q358" s="1468"/>
      <c r="R358" s="1468">
        <v>21.22</v>
      </c>
      <c r="S358" s="1467">
        <f t="shared" si="213"/>
        <v>47.67999999999999</v>
      </c>
      <c r="T358" s="296">
        <f t="shared" si="217"/>
        <v>21.22</v>
      </c>
      <c r="U358" s="296">
        <f t="shared" si="218"/>
        <v>0</v>
      </c>
      <c r="V358" s="307">
        <f t="shared" si="219"/>
        <v>0</v>
      </c>
      <c r="W358" s="805">
        <f t="shared" si="220"/>
        <v>21.22</v>
      </c>
      <c r="X358" s="295">
        <f t="shared" si="221"/>
        <v>8817.23</v>
      </c>
      <c r="Y358" s="292">
        <f t="shared" si="222"/>
        <v>9096.06</v>
      </c>
      <c r="Z358" s="584">
        <f t="shared" si="223"/>
        <v>9096.06</v>
      </c>
      <c r="AB358" s="8">
        <f t="shared" si="214"/>
        <v>26409.51</v>
      </c>
      <c r="AC358" s="8">
        <f t="shared" si="224"/>
        <v>26137.379999999997</v>
      </c>
      <c r="AD358" s="775"/>
      <c r="AE358" s="774"/>
    </row>
    <row r="359" spans="1:31" ht="18.75">
      <c r="A359" s="73" t="s">
        <v>11</v>
      </c>
      <c r="B359" s="74">
        <f t="shared" si="208"/>
        <v>8858.060000000029</v>
      </c>
      <c r="C359" s="1457">
        <v>8764.88</v>
      </c>
      <c r="D359" s="314">
        <v>8761.5</v>
      </c>
      <c r="E359" s="74"/>
      <c r="F359" s="74">
        <f t="shared" si="209"/>
        <v>8861.440000000028</v>
      </c>
      <c r="G359" s="297">
        <f t="shared" si="210"/>
        <v>0</v>
      </c>
      <c r="H359" s="1119"/>
      <c r="I359" s="305"/>
      <c r="J359" s="306">
        <f t="shared" si="215"/>
        <v>0</v>
      </c>
      <c r="K359" s="298">
        <f t="shared" si="211"/>
        <v>0</v>
      </c>
      <c r="L359" s="1328"/>
      <c r="M359" s="1443"/>
      <c r="N359" s="302">
        <f t="shared" si="216"/>
        <v>0</v>
      </c>
      <c r="O359" s="299">
        <f t="shared" si="212"/>
        <v>89.53</v>
      </c>
      <c r="P359" s="1468">
        <v>0.15</v>
      </c>
      <c r="Q359" s="1468"/>
      <c r="R359" s="1468">
        <v>0.15</v>
      </c>
      <c r="S359" s="1467">
        <f t="shared" si="213"/>
        <v>89.53</v>
      </c>
      <c r="T359" s="296">
        <f t="shared" si="217"/>
        <v>0.15</v>
      </c>
      <c r="U359" s="296">
        <f t="shared" si="218"/>
        <v>0</v>
      </c>
      <c r="V359" s="307">
        <f t="shared" si="219"/>
        <v>0</v>
      </c>
      <c r="W359" s="805">
        <f t="shared" si="220"/>
        <v>0.15</v>
      </c>
      <c r="X359" s="295">
        <f t="shared" si="221"/>
        <v>8765.029999999999</v>
      </c>
      <c r="Y359" s="292">
        <f t="shared" si="222"/>
        <v>8761.65</v>
      </c>
      <c r="Z359" s="584">
        <f t="shared" si="223"/>
        <v>8761.65</v>
      </c>
      <c r="AB359" s="8">
        <f t="shared" si="214"/>
        <v>26294.789999999997</v>
      </c>
      <c r="AC359" s="8">
        <f t="shared" si="224"/>
        <v>23576.25</v>
      </c>
      <c r="AD359" s="775"/>
      <c r="AE359" s="774"/>
    </row>
    <row r="360" spans="1:31" ht="18.75">
      <c r="A360" s="73" t="s">
        <v>12</v>
      </c>
      <c r="B360" s="74">
        <f t="shared" si="208"/>
        <v>95118.9600000002</v>
      </c>
      <c r="C360" s="1457">
        <v>50194.42</v>
      </c>
      <c r="D360" s="314">
        <v>47028.94</v>
      </c>
      <c r="E360" s="74"/>
      <c r="F360" s="74">
        <f t="shared" si="209"/>
        <v>98284.44000000018</v>
      </c>
      <c r="G360" s="297">
        <f t="shared" si="210"/>
        <v>-5690.080000000006</v>
      </c>
      <c r="H360" s="1120">
        <v>583.65</v>
      </c>
      <c r="I360" s="305">
        <v>583.65</v>
      </c>
      <c r="J360" s="306">
        <f t="shared" si="215"/>
        <v>-5690.080000000006</v>
      </c>
      <c r="K360" s="298">
        <f t="shared" si="211"/>
        <v>1508.3999999999985</v>
      </c>
      <c r="L360" s="1328">
        <v>1722.24</v>
      </c>
      <c r="M360" s="1443">
        <v>1722.24</v>
      </c>
      <c r="N360" s="302">
        <f t="shared" si="216"/>
        <v>1508.3999999999985</v>
      </c>
      <c r="O360" s="299">
        <f t="shared" si="212"/>
        <v>294.76</v>
      </c>
      <c r="P360" s="1468">
        <v>52.31</v>
      </c>
      <c r="Q360" s="1468"/>
      <c r="R360" s="1468">
        <v>28.69</v>
      </c>
      <c r="S360" s="1467">
        <f t="shared" si="213"/>
        <v>318.38</v>
      </c>
      <c r="T360" s="296">
        <f t="shared" si="217"/>
        <v>28.69</v>
      </c>
      <c r="U360" s="296">
        <f t="shared" si="218"/>
        <v>1722.24</v>
      </c>
      <c r="V360" s="307">
        <f t="shared" si="219"/>
        <v>583.65</v>
      </c>
      <c r="W360" s="805">
        <f t="shared" si="220"/>
        <v>2334.58</v>
      </c>
      <c r="X360" s="295">
        <f t="shared" si="221"/>
        <v>52552.619999999995</v>
      </c>
      <c r="Y360" s="292">
        <f t="shared" si="222"/>
        <v>49363.520000000004</v>
      </c>
      <c r="Z360" s="584">
        <f t="shared" si="223"/>
        <v>47057.630000000005</v>
      </c>
      <c r="AB360" s="8">
        <f t="shared" si="214"/>
        <v>157763.78</v>
      </c>
      <c r="AC360" s="8">
        <f t="shared" si="224"/>
        <v>177573.13999999998</v>
      </c>
      <c r="AD360" s="775"/>
      <c r="AE360" s="774"/>
    </row>
    <row r="361" spans="1:31" ht="18.75">
      <c r="A361" s="73" t="s">
        <v>13</v>
      </c>
      <c r="B361" s="74">
        <f t="shared" si="208"/>
        <v>59251.16000000003</v>
      </c>
      <c r="C361" s="1457">
        <v>29655.43</v>
      </c>
      <c r="D361" s="314">
        <v>30091.52</v>
      </c>
      <c r="E361" s="74"/>
      <c r="F361" s="74">
        <f t="shared" si="209"/>
        <v>58815.07000000002</v>
      </c>
      <c r="G361" s="297">
        <f t="shared" si="210"/>
        <v>-1743.7000000000025</v>
      </c>
      <c r="H361" s="1120">
        <v>196.74</v>
      </c>
      <c r="I361" s="305">
        <v>196.74</v>
      </c>
      <c r="J361" s="306">
        <f t="shared" si="215"/>
        <v>-1743.7000000000025</v>
      </c>
      <c r="K361" s="298">
        <f t="shared" si="211"/>
        <v>-2290.02</v>
      </c>
      <c r="L361" s="1328">
        <v>727.77</v>
      </c>
      <c r="M361" s="1443">
        <v>727.77</v>
      </c>
      <c r="N361" s="302">
        <f t="shared" si="216"/>
        <v>-2290.02</v>
      </c>
      <c r="O361" s="299">
        <f t="shared" si="212"/>
        <v>59.10000000000004</v>
      </c>
      <c r="P361" s="1468">
        <v>63.65</v>
      </c>
      <c r="Q361" s="1468"/>
      <c r="R361" s="1468">
        <v>66.13</v>
      </c>
      <c r="S361" s="1467">
        <f t="shared" si="213"/>
        <v>56.62000000000003</v>
      </c>
      <c r="T361" s="296">
        <f t="shared" si="217"/>
        <v>66.13</v>
      </c>
      <c r="U361" s="296">
        <f t="shared" si="218"/>
        <v>727.77</v>
      </c>
      <c r="V361" s="307">
        <f t="shared" si="219"/>
        <v>196.74</v>
      </c>
      <c r="W361" s="805">
        <f t="shared" si="220"/>
        <v>990.64</v>
      </c>
      <c r="X361" s="295">
        <f t="shared" si="221"/>
        <v>30643.590000000004</v>
      </c>
      <c r="Y361" s="292">
        <f t="shared" si="222"/>
        <v>31082.160000000003</v>
      </c>
      <c r="Z361" s="584">
        <f t="shared" si="223"/>
        <v>30157.65</v>
      </c>
      <c r="AB361" s="8">
        <f t="shared" si="214"/>
        <v>91880.16</v>
      </c>
      <c r="AC361" s="8">
        <f t="shared" si="224"/>
        <v>95440.08999999998</v>
      </c>
      <c r="AD361" s="775"/>
      <c r="AE361" s="774"/>
    </row>
    <row r="362" spans="1:31" ht="18.75">
      <c r="A362" s="73" t="s">
        <v>14</v>
      </c>
      <c r="B362" s="74">
        <f t="shared" si="208"/>
        <v>64736.180000000095</v>
      </c>
      <c r="C362" s="1457">
        <v>36574.19</v>
      </c>
      <c r="D362" s="314">
        <v>42971.03</v>
      </c>
      <c r="E362" s="74"/>
      <c r="F362" s="74">
        <f t="shared" si="209"/>
        <v>58339.3400000001</v>
      </c>
      <c r="G362" s="297">
        <f t="shared" si="210"/>
        <v>-1290.7800000000002</v>
      </c>
      <c r="H362" s="1119"/>
      <c r="I362" s="305"/>
      <c r="J362" s="306">
        <f t="shared" si="215"/>
        <v>-1290.7800000000002</v>
      </c>
      <c r="K362" s="298">
        <f t="shared" si="211"/>
        <v>4064.2299999999996</v>
      </c>
      <c r="L362" s="1328">
        <v>2926</v>
      </c>
      <c r="M362" s="1443">
        <v>3407.99</v>
      </c>
      <c r="N362" s="302">
        <f t="shared" si="216"/>
        <v>3582.24</v>
      </c>
      <c r="O362" s="299">
        <f t="shared" si="212"/>
        <v>-210.23000000000005</v>
      </c>
      <c r="P362" s="1468">
        <v>313.81</v>
      </c>
      <c r="Q362" s="1468"/>
      <c r="R362" s="1468">
        <v>314.5</v>
      </c>
      <c r="S362" s="1467">
        <f t="shared" si="213"/>
        <v>-210.92000000000004</v>
      </c>
      <c r="T362" s="296">
        <f t="shared" si="217"/>
        <v>314.5</v>
      </c>
      <c r="U362" s="296">
        <f t="shared" si="218"/>
        <v>3407.99</v>
      </c>
      <c r="V362" s="307">
        <f t="shared" si="219"/>
        <v>0</v>
      </c>
      <c r="W362" s="805">
        <f t="shared" si="220"/>
        <v>3722.49</v>
      </c>
      <c r="X362" s="295">
        <f t="shared" si="221"/>
        <v>39814</v>
      </c>
      <c r="Y362" s="292">
        <f t="shared" si="222"/>
        <v>46693.52</v>
      </c>
      <c r="Z362" s="584">
        <f t="shared" si="223"/>
        <v>43285.53</v>
      </c>
      <c r="AB362" s="8">
        <f t="shared" si="214"/>
        <v>118884.95000000001</v>
      </c>
      <c r="AC362" s="8">
        <f t="shared" si="224"/>
        <v>134664.74</v>
      </c>
      <c r="AD362" s="775"/>
      <c r="AE362" s="774"/>
    </row>
    <row r="363" spans="1:31" ht="18.75">
      <c r="A363" s="73" t="s">
        <v>55</v>
      </c>
      <c r="B363" s="74">
        <f t="shared" si="208"/>
        <v>34600.19000000002</v>
      </c>
      <c r="C363" s="1457">
        <v>16275.19</v>
      </c>
      <c r="D363" s="314">
        <v>14682.5</v>
      </c>
      <c r="E363" s="74"/>
      <c r="F363" s="74">
        <f t="shared" si="209"/>
        <v>36192.88000000002</v>
      </c>
      <c r="G363" s="297">
        <f t="shared" si="210"/>
        <v>-2040.4999999999982</v>
      </c>
      <c r="H363" s="1120">
        <v>209.3</v>
      </c>
      <c r="I363" s="305">
        <v>209.3</v>
      </c>
      <c r="J363" s="306">
        <f t="shared" si="215"/>
        <v>-2040.4999999999982</v>
      </c>
      <c r="K363" s="298">
        <f t="shared" si="211"/>
        <v>3523.2700000000036</v>
      </c>
      <c r="L363" s="1328">
        <v>773.21</v>
      </c>
      <c r="M363" s="1443"/>
      <c r="N363" s="302">
        <f t="shared" si="216"/>
        <v>4296.480000000003</v>
      </c>
      <c r="O363" s="299">
        <f t="shared" si="212"/>
        <v>-763.83</v>
      </c>
      <c r="P363" s="1468">
        <v>2.35</v>
      </c>
      <c r="Q363" s="1468"/>
      <c r="R363" s="1468">
        <v>0.65</v>
      </c>
      <c r="S363" s="1467">
        <f t="shared" si="213"/>
        <v>-762.13</v>
      </c>
      <c r="T363" s="296">
        <f t="shared" si="217"/>
        <v>0.65</v>
      </c>
      <c r="U363" s="296">
        <f t="shared" si="218"/>
        <v>0</v>
      </c>
      <c r="V363" s="307">
        <f t="shared" si="219"/>
        <v>209.3</v>
      </c>
      <c r="W363" s="805">
        <f t="shared" si="220"/>
        <v>209.95000000000002</v>
      </c>
      <c r="X363" s="295">
        <f t="shared" si="221"/>
        <v>17260.05</v>
      </c>
      <c r="Y363" s="292">
        <f t="shared" si="222"/>
        <v>14892.449999999999</v>
      </c>
      <c r="Z363" s="584">
        <f t="shared" si="223"/>
        <v>14683.15</v>
      </c>
      <c r="AB363" s="8">
        <f t="shared" si="214"/>
        <v>51829.18000000001</v>
      </c>
      <c r="AC363" s="8">
        <f t="shared" si="224"/>
        <v>54052.590000000004</v>
      </c>
      <c r="AD363" s="775"/>
      <c r="AE363" s="774"/>
    </row>
    <row r="364" spans="1:31" ht="18.75">
      <c r="A364" s="73" t="s">
        <v>15</v>
      </c>
      <c r="B364" s="74">
        <f t="shared" si="208"/>
        <v>127207.44000000031</v>
      </c>
      <c r="C364" s="1457">
        <v>39158.91</v>
      </c>
      <c r="D364" s="314">
        <v>36923.92</v>
      </c>
      <c r="E364" s="74"/>
      <c r="F364" s="74">
        <f t="shared" si="209"/>
        <v>129442.43000000033</v>
      </c>
      <c r="G364" s="297">
        <f t="shared" si="210"/>
        <v>0</v>
      </c>
      <c r="H364" s="1119"/>
      <c r="I364" s="305"/>
      <c r="J364" s="306">
        <f t="shared" si="215"/>
        <v>0</v>
      </c>
      <c r="K364" s="298">
        <f t="shared" si="211"/>
        <v>-45512.1</v>
      </c>
      <c r="L364" s="1328">
        <v>2209.01</v>
      </c>
      <c r="M364" s="1443"/>
      <c r="N364" s="302">
        <f t="shared" si="216"/>
        <v>-43303.09</v>
      </c>
      <c r="O364" s="299">
        <f t="shared" si="212"/>
        <v>469.23999999999967</v>
      </c>
      <c r="P364" s="1468">
        <v>113.9</v>
      </c>
      <c r="Q364" s="1468"/>
      <c r="R364" s="1468">
        <v>116.83</v>
      </c>
      <c r="S364" s="1467">
        <f t="shared" si="213"/>
        <v>466.30999999999966</v>
      </c>
      <c r="T364" s="296">
        <f t="shared" si="217"/>
        <v>116.83</v>
      </c>
      <c r="U364" s="296">
        <f t="shared" si="218"/>
        <v>0</v>
      </c>
      <c r="V364" s="307">
        <f t="shared" si="219"/>
        <v>0</v>
      </c>
      <c r="W364" s="805">
        <f t="shared" si="220"/>
        <v>116.83</v>
      </c>
      <c r="X364" s="295">
        <f t="shared" si="221"/>
        <v>41481.82000000001</v>
      </c>
      <c r="Y364" s="292">
        <f t="shared" si="222"/>
        <v>37040.75</v>
      </c>
      <c r="Z364" s="584">
        <f t="shared" si="223"/>
        <v>37040.75</v>
      </c>
      <c r="AB364" s="8">
        <f t="shared" si="214"/>
        <v>124266.93000000002</v>
      </c>
      <c r="AC364" s="8">
        <f t="shared" si="224"/>
        <v>170538.94</v>
      </c>
      <c r="AD364" s="775"/>
      <c r="AE364" s="774"/>
    </row>
    <row r="365" spans="1:31" ht="18.75">
      <c r="A365" s="73" t="s">
        <v>16</v>
      </c>
      <c r="B365" s="74">
        <f t="shared" si="208"/>
        <v>37519.05000000008</v>
      </c>
      <c r="C365" s="1457">
        <v>31868.05</v>
      </c>
      <c r="D365" s="314">
        <v>31200.69</v>
      </c>
      <c r="E365" s="74"/>
      <c r="F365" s="74">
        <f t="shared" si="209"/>
        <v>38186.410000000076</v>
      </c>
      <c r="G365" s="297">
        <f t="shared" si="210"/>
        <v>0</v>
      </c>
      <c r="H365" s="1119"/>
      <c r="I365" s="305"/>
      <c r="J365" s="306">
        <f t="shared" si="215"/>
        <v>0</v>
      </c>
      <c r="K365" s="298">
        <f t="shared" si="211"/>
        <v>1492.180000000002</v>
      </c>
      <c r="L365" s="1328">
        <v>328.3</v>
      </c>
      <c r="M365" s="1443"/>
      <c r="N365" s="302">
        <f t="shared" si="216"/>
        <v>1820.480000000002</v>
      </c>
      <c r="O365" s="299">
        <f t="shared" si="212"/>
        <v>26.25</v>
      </c>
      <c r="P365" s="1468">
        <v>9.75</v>
      </c>
      <c r="Q365" s="1468"/>
      <c r="R365" s="1468">
        <v>9.75</v>
      </c>
      <c r="S365" s="1467">
        <f t="shared" si="213"/>
        <v>26.25</v>
      </c>
      <c r="T365" s="296">
        <f t="shared" si="217"/>
        <v>9.75</v>
      </c>
      <c r="U365" s="296">
        <f t="shared" si="218"/>
        <v>0</v>
      </c>
      <c r="V365" s="307">
        <f t="shared" si="219"/>
        <v>0</v>
      </c>
      <c r="W365" s="805">
        <f t="shared" si="220"/>
        <v>9.75</v>
      </c>
      <c r="X365" s="295">
        <f t="shared" si="221"/>
        <v>32206.1</v>
      </c>
      <c r="Y365" s="292">
        <f t="shared" si="222"/>
        <v>31210.44</v>
      </c>
      <c r="Z365" s="584">
        <f t="shared" si="223"/>
        <v>31210.44</v>
      </c>
      <c r="AB365" s="8">
        <f t="shared" si="214"/>
        <v>96768.01</v>
      </c>
      <c r="AC365" s="8">
        <f t="shared" si="224"/>
        <v>97589.76999999999</v>
      </c>
      <c r="AD365" s="775"/>
      <c r="AE365" s="774"/>
    </row>
    <row r="366" spans="1:31" ht="18.75">
      <c r="A366" s="73" t="s">
        <v>17</v>
      </c>
      <c r="B366" s="74">
        <f t="shared" si="208"/>
        <v>61103.63000000034</v>
      </c>
      <c r="C366" s="1457">
        <v>41492.76</v>
      </c>
      <c r="D366" s="314">
        <v>40400.15</v>
      </c>
      <c r="E366" s="74"/>
      <c r="F366" s="74">
        <f t="shared" si="209"/>
        <v>62196.24000000033</v>
      </c>
      <c r="G366" s="297">
        <f t="shared" si="210"/>
        <v>-4051.8500000000013</v>
      </c>
      <c r="H366" s="1120">
        <v>415.61</v>
      </c>
      <c r="I366" s="305">
        <v>415.61</v>
      </c>
      <c r="J366" s="306">
        <f t="shared" si="215"/>
        <v>-4051.8500000000013</v>
      </c>
      <c r="K366" s="298">
        <f t="shared" si="211"/>
        <v>1318.6299999999997</v>
      </c>
      <c r="L366" s="1328">
        <v>699.06</v>
      </c>
      <c r="M366" s="1443">
        <v>699.06</v>
      </c>
      <c r="N366" s="302">
        <f t="shared" si="216"/>
        <v>1318.6299999999997</v>
      </c>
      <c r="O366" s="299">
        <f t="shared" si="212"/>
        <v>80.36</v>
      </c>
      <c r="P366" s="1468">
        <v>34.7</v>
      </c>
      <c r="Q366" s="1468"/>
      <c r="R366" s="1468">
        <v>34.18</v>
      </c>
      <c r="S366" s="1467">
        <f t="shared" si="213"/>
        <v>80.88</v>
      </c>
      <c r="T366" s="296">
        <f t="shared" si="217"/>
        <v>34.18</v>
      </c>
      <c r="U366" s="296">
        <f t="shared" si="218"/>
        <v>699.06</v>
      </c>
      <c r="V366" s="307">
        <f t="shared" si="219"/>
        <v>415.61</v>
      </c>
      <c r="W366" s="805">
        <f t="shared" si="220"/>
        <v>1148.85</v>
      </c>
      <c r="X366" s="295">
        <f t="shared" si="221"/>
        <v>42642.13</v>
      </c>
      <c r="Y366" s="292">
        <f t="shared" si="222"/>
        <v>41549</v>
      </c>
      <c r="Z366" s="584">
        <f t="shared" si="223"/>
        <v>40434.33</v>
      </c>
      <c r="AB366" s="8">
        <f t="shared" si="214"/>
        <v>127883.93</v>
      </c>
      <c r="AC366" s="8">
        <f t="shared" si="224"/>
        <v>132975.16</v>
      </c>
      <c r="AD366" s="775"/>
      <c r="AE366" s="774"/>
    </row>
    <row r="367" spans="1:31" ht="18.75">
      <c r="A367" s="73" t="s">
        <v>18</v>
      </c>
      <c r="B367" s="74">
        <f t="shared" si="208"/>
        <v>163456.86000000002</v>
      </c>
      <c r="C367" s="1457">
        <v>88452</v>
      </c>
      <c r="D367" s="314">
        <v>86344.22</v>
      </c>
      <c r="E367" s="74"/>
      <c r="F367" s="74">
        <f t="shared" si="209"/>
        <v>165564.64</v>
      </c>
      <c r="G367" s="297">
        <f t="shared" si="210"/>
        <v>346.08999999999855</v>
      </c>
      <c r="H367" s="1119"/>
      <c r="I367" s="305"/>
      <c r="J367" s="306">
        <f t="shared" si="215"/>
        <v>346.08999999999855</v>
      </c>
      <c r="K367" s="298">
        <f t="shared" si="211"/>
        <v>3719.1</v>
      </c>
      <c r="L367" s="1328">
        <v>2704.76</v>
      </c>
      <c r="M367" s="1443">
        <v>2914.06</v>
      </c>
      <c r="N367" s="302">
        <f t="shared" si="216"/>
        <v>3509.8000000000006</v>
      </c>
      <c r="O367" s="299">
        <f t="shared" si="212"/>
        <v>462.69000000000005</v>
      </c>
      <c r="P367" s="1468">
        <v>82.99</v>
      </c>
      <c r="Q367" s="1468"/>
      <c r="R367" s="1468">
        <v>91.1</v>
      </c>
      <c r="S367" s="1467">
        <f t="shared" si="213"/>
        <v>454.58000000000004</v>
      </c>
      <c r="T367" s="296">
        <f t="shared" si="217"/>
        <v>91.1</v>
      </c>
      <c r="U367" s="296">
        <f t="shared" si="218"/>
        <v>2914.06</v>
      </c>
      <c r="V367" s="307">
        <f t="shared" si="219"/>
        <v>0</v>
      </c>
      <c r="W367" s="805">
        <f t="shared" si="220"/>
        <v>3005.16</v>
      </c>
      <c r="X367" s="295">
        <f t="shared" si="221"/>
        <v>91239.75</v>
      </c>
      <c r="Y367" s="292">
        <f t="shared" si="222"/>
        <v>89349.38</v>
      </c>
      <c r="Z367" s="584">
        <f t="shared" si="223"/>
        <v>86435.32</v>
      </c>
      <c r="AB367" s="8">
        <f t="shared" si="214"/>
        <v>273864.55</v>
      </c>
      <c r="AC367" s="8">
        <f t="shared" si="224"/>
        <v>284931.01</v>
      </c>
      <c r="AD367" s="775"/>
      <c r="AE367" s="774"/>
    </row>
    <row r="368" spans="1:31" ht="18.75">
      <c r="A368" s="73" t="s">
        <v>54</v>
      </c>
      <c r="B368" s="74">
        <f t="shared" si="208"/>
        <v>57740.52000000037</v>
      </c>
      <c r="C368" s="1457">
        <v>37931.1</v>
      </c>
      <c r="D368" s="314">
        <v>37142.9</v>
      </c>
      <c r="E368" s="74"/>
      <c r="F368" s="74">
        <f t="shared" si="209"/>
        <v>58528.72000000037</v>
      </c>
      <c r="G368" s="297">
        <f t="shared" si="210"/>
        <v>-2879.0799999999986</v>
      </c>
      <c r="H368" s="1120">
        <v>295.41</v>
      </c>
      <c r="I368" s="305">
        <v>295.41</v>
      </c>
      <c r="J368" s="306">
        <f t="shared" si="215"/>
        <v>-2879.0799999999986</v>
      </c>
      <c r="K368" s="298">
        <f t="shared" si="211"/>
        <v>0</v>
      </c>
      <c r="L368" s="1328"/>
      <c r="M368" s="1443"/>
      <c r="N368" s="302">
        <f t="shared" si="216"/>
        <v>0</v>
      </c>
      <c r="O368" s="299">
        <f t="shared" si="212"/>
        <v>-1107.54</v>
      </c>
      <c r="P368" s="1468">
        <v>36.07</v>
      </c>
      <c r="Q368" s="1468"/>
      <c r="R368" s="1468">
        <v>21.38</v>
      </c>
      <c r="S368" s="1467">
        <f t="shared" si="213"/>
        <v>-1092.8500000000001</v>
      </c>
      <c r="T368" s="296">
        <f t="shared" si="217"/>
        <v>21.38</v>
      </c>
      <c r="U368" s="296">
        <f t="shared" si="218"/>
        <v>0</v>
      </c>
      <c r="V368" s="307">
        <f t="shared" si="219"/>
        <v>295.41</v>
      </c>
      <c r="W368" s="805">
        <f t="shared" si="220"/>
        <v>316.79</v>
      </c>
      <c r="X368" s="295">
        <f t="shared" si="221"/>
        <v>38262.58</v>
      </c>
      <c r="Y368" s="292">
        <f t="shared" si="222"/>
        <v>37459.69</v>
      </c>
      <c r="Z368" s="584">
        <f t="shared" si="223"/>
        <v>37164.28</v>
      </c>
      <c r="AB368" s="8">
        <f t="shared" si="214"/>
        <v>114768.37000000001</v>
      </c>
      <c r="AC368" s="8">
        <f t="shared" si="224"/>
        <v>123051.46999999999</v>
      </c>
      <c r="AD368" s="775"/>
      <c r="AE368" s="774"/>
    </row>
    <row r="369" spans="1:31" ht="18.75">
      <c r="A369" s="73" t="s">
        <v>49</v>
      </c>
      <c r="B369" s="74">
        <f t="shared" si="208"/>
        <v>215533.2300000002</v>
      </c>
      <c r="C369" s="1457">
        <v>80671.41</v>
      </c>
      <c r="D369" s="314">
        <v>83100.89</v>
      </c>
      <c r="E369" s="74"/>
      <c r="F369" s="74">
        <f t="shared" si="209"/>
        <v>213103.75000000023</v>
      </c>
      <c r="G369" s="297">
        <f t="shared" si="210"/>
        <v>-8989.859999999997</v>
      </c>
      <c r="H369" s="1120">
        <v>922.12</v>
      </c>
      <c r="I369" s="305">
        <v>922.12</v>
      </c>
      <c r="J369" s="306">
        <f t="shared" si="215"/>
        <v>-8989.859999999997</v>
      </c>
      <c r="K369" s="298">
        <f t="shared" si="211"/>
        <v>6495.050000000002</v>
      </c>
      <c r="L369" s="1328">
        <v>3411.59</v>
      </c>
      <c r="M369" s="1443">
        <v>5703.73</v>
      </c>
      <c r="N369" s="302">
        <f t="shared" si="216"/>
        <v>4202.9100000000035</v>
      </c>
      <c r="O369" s="299">
        <f t="shared" si="212"/>
        <v>-799.9500000000003</v>
      </c>
      <c r="P369" s="1468">
        <v>129.16</v>
      </c>
      <c r="Q369" s="1468"/>
      <c r="R369" s="1468">
        <v>129.4</v>
      </c>
      <c r="S369" s="1467">
        <f t="shared" si="213"/>
        <v>-800.1900000000003</v>
      </c>
      <c r="T369" s="296">
        <f t="shared" si="217"/>
        <v>129.4</v>
      </c>
      <c r="U369" s="296">
        <f t="shared" si="218"/>
        <v>5703.73</v>
      </c>
      <c r="V369" s="307">
        <f t="shared" si="219"/>
        <v>922.12</v>
      </c>
      <c r="W369" s="805">
        <f t="shared" si="220"/>
        <v>6755.249999999999</v>
      </c>
      <c r="X369" s="295">
        <f t="shared" si="221"/>
        <v>85134.28</v>
      </c>
      <c r="Y369" s="292">
        <f t="shared" si="222"/>
        <v>89856.13999999998</v>
      </c>
      <c r="Z369" s="584">
        <f t="shared" si="223"/>
        <v>83230.29</v>
      </c>
      <c r="AB369" s="8">
        <f t="shared" si="214"/>
        <v>256137.44999999998</v>
      </c>
      <c r="AC369" s="8">
        <f t="shared" si="224"/>
        <v>288117.93</v>
      </c>
      <c r="AD369" s="775"/>
      <c r="AE369" s="774"/>
    </row>
    <row r="370" spans="1:31" ht="18.75">
      <c r="A370" s="73" t="s">
        <v>19</v>
      </c>
      <c r="B370" s="74">
        <f t="shared" si="208"/>
        <v>105829.67999999996</v>
      </c>
      <c r="C370" s="1457">
        <v>59504.54</v>
      </c>
      <c r="D370" s="314">
        <v>59770.96</v>
      </c>
      <c r="E370" s="74"/>
      <c r="F370" s="74">
        <f t="shared" si="209"/>
        <v>105563.25999999998</v>
      </c>
      <c r="G370" s="297">
        <f t="shared" si="210"/>
        <v>-3518.0200000000023</v>
      </c>
      <c r="H370" s="1120">
        <v>402.45</v>
      </c>
      <c r="I370" s="305">
        <v>402.45</v>
      </c>
      <c r="J370" s="306">
        <f t="shared" si="215"/>
        <v>-3518.0200000000023</v>
      </c>
      <c r="K370" s="298">
        <f t="shared" si="211"/>
        <v>852.5000000000014</v>
      </c>
      <c r="L370" s="1328">
        <v>1175.67</v>
      </c>
      <c r="M370" s="1443">
        <v>833.61</v>
      </c>
      <c r="N370" s="302">
        <f t="shared" si="216"/>
        <v>1194.5600000000013</v>
      </c>
      <c r="O370" s="299">
        <f t="shared" si="212"/>
        <v>-46.19999999999963</v>
      </c>
      <c r="P370" s="1468">
        <v>104.15</v>
      </c>
      <c r="Q370" s="1468"/>
      <c r="R370" s="1468">
        <v>102.05</v>
      </c>
      <c r="S370" s="1467">
        <f t="shared" si="213"/>
        <v>-44.099999999999625</v>
      </c>
      <c r="T370" s="296">
        <f t="shared" si="217"/>
        <v>102.05</v>
      </c>
      <c r="U370" s="296">
        <f t="shared" si="218"/>
        <v>833.61</v>
      </c>
      <c r="V370" s="307">
        <f t="shared" si="219"/>
        <v>402.45</v>
      </c>
      <c r="W370" s="805">
        <f t="shared" si="220"/>
        <v>1338.11</v>
      </c>
      <c r="X370" s="295">
        <f t="shared" si="221"/>
        <v>61186.81</v>
      </c>
      <c r="Y370" s="292">
        <f t="shared" si="222"/>
        <v>61109.07</v>
      </c>
      <c r="Z370" s="584">
        <f t="shared" si="223"/>
        <v>59873.01</v>
      </c>
      <c r="AB370" s="8">
        <f t="shared" si="214"/>
        <v>183514.06</v>
      </c>
      <c r="AC370" s="8">
        <f t="shared" si="224"/>
        <v>191951.5</v>
      </c>
      <c r="AD370" s="775"/>
      <c r="AE370" s="774"/>
    </row>
    <row r="371" spans="1:31" ht="18.75">
      <c r="A371" s="73" t="s">
        <v>20</v>
      </c>
      <c r="B371" s="74">
        <f t="shared" si="208"/>
        <v>72203.1300000001</v>
      </c>
      <c r="C371" s="1457">
        <v>38671.41</v>
      </c>
      <c r="D371" s="314">
        <v>38879.79</v>
      </c>
      <c r="E371" s="74"/>
      <c r="F371" s="74">
        <f t="shared" si="209"/>
        <v>71994.75000000012</v>
      </c>
      <c r="G371" s="297">
        <f t="shared" si="210"/>
        <v>0</v>
      </c>
      <c r="H371" s="1121"/>
      <c r="I371" s="305"/>
      <c r="J371" s="306">
        <f t="shared" si="215"/>
        <v>0</v>
      </c>
      <c r="K371" s="298">
        <f t="shared" si="211"/>
        <v>1010.8699999999991</v>
      </c>
      <c r="L371" s="1329">
        <v>777.4</v>
      </c>
      <c r="M371" s="1444">
        <v>777.4</v>
      </c>
      <c r="N371" s="302">
        <f t="shared" si="216"/>
        <v>1010.8699999999991</v>
      </c>
      <c r="O371" s="299">
        <f t="shared" si="212"/>
        <v>114.31999999999992</v>
      </c>
      <c r="P371" s="1468">
        <v>101.27</v>
      </c>
      <c r="Q371" s="1468"/>
      <c r="R371" s="1468">
        <v>101.27</v>
      </c>
      <c r="S371" s="1467">
        <f t="shared" si="213"/>
        <v>114.31999999999992</v>
      </c>
      <c r="T371" s="296">
        <f t="shared" si="217"/>
        <v>101.27</v>
      </c>
      <c r="U371" s="296">
        <f t="shared" si="218"/>
        <v>777.4</v>
      </c>
      <c r="V371" s="307">
        <f t="shared" si="219"/>
        <v>0</v>
      </c>
      <c r="W371" s="805">
        <f t="shared" si="220"/>
        <v>878.67</v>
      </c>
      <c r="X371" s="295">
        <f t="shared" si="221"/>
        <v>39550.08</v>
      </c>
      <c r="Y371" s="292">
        <f t="shared" si="222"/>
        <v>39758.46</v>
      </c>
      <c r="Z371" s="584">
        <f t="shared" si="223"/>
        <v>38981.06</v>
      </c>
      <c r="AB371" s="8">
        <f t="shared" si="214"/>
        <v>118542.48000000001</v>
      </c>
      <c r="AC371" s="8">
        <f t="shared" si="224"/>
        <v>119381.04</v>
      </c>
      <c r="AD371" s="775"/>
      <c r="AE371" s="774"/>
    </row>
    <row r="372" spans="1:31" ht="18.75">
      <c r="A372" s="73" t="s">
        <v>139</v>
      </c>
      <c r="B372" s="74">
        <f t="shared" si="208"/>
        <v>-448045.1300000004</v>
      </c>
      <c r="C372" s="1457">
        <v>47606.78</v>
      </c>
      <c r="D372" s="314">
        <v>51000.77</v>
      </c>
      <c r="E372" s="74"/>
      <c r="F372" s="74">
        <f t="shared" si="209"/>
        <v>-451439.12000000046</v>
      </c>
      <c r="G372" s="297">
        <f t="shared" si="210"/>
        <v>-6449.04</v>
      </c>
      <c r="H372" s="1449">
        <v>303.19</v>
      </c>
      <c r="I372" s="305">
        <v>303.19</v>
      </c>
      <c r="J372" s="306">
        <f t="shared" si="215"/>
        <v>-6449.04</v>
      </c>
      <c r="K372" s="298">
        <f t="shared" si="211"/>
        <v>-789.96</v>
      </c>
      <c r="L372" s="1463">
        <v>789.96</v>
      </c>
      <c r="M372" s="1444"/>
      <c r="N372" s="302">
        <f t="shared" si="216"/>
        <v>0</v>
      </c>
      <c r="O372" s="299">
        <f t="shared" si="212"/>
        <v>-51.70000000000001</v>
      </c>
      <c r="P372" s="1468">
        <v>72.64</v>
      </c>
      <c r="Q372" s="1468"/>
      <c r="R372" s="1468">
        <v>67.32</v>
      </c>
      <c r="S372" s="1467">
        <f t="shared" si="213"/>
        <v>-46.38</v>
      </c>
      <c r="T372" s="296">
        <f t="shared" si="217"/>
        <v>67.32</v>
      </c>
      <c r="U372" s="296">
        <f t="shared" si="218"/>
        <v>0</v>
      </c>
      <c r="V372" s="307">
        <f t="shared" si="219"/>
        <v>303.19</v>
      </c>
      <c r="W372" s="805">
        <f t="shared" si="220"/>
        <v>370.51</v>
      </c>
      <c r="X372" s="295">
        <f t="shared" si="221"/>
        <v>48772.57</v>
      </c>
      <c r="Y372" s="292">
        <f t="shared" si="222"/>
        <v>51371.28</v>
      </c>
      <c r="Z372" s="584">
        <f t="shared" si="223"/>
        <v>51068.09</v>
      </c>
      <c r="AB372" s="8">
        <f t="shared" si="214"/>
        <v>145523.95</v>
      </c>
      <c r="AC372" s="8">
        <f t="shared" si="224"/>
        <v>162790.24</v>
      </c>
      <c r="AD372" s="775"/>
      <c r="AE372" s="774"/>
    </row>
    <row r="373" spans="1:31" ht="24" customHeight="1">
      <c r="A373" s="73" t="s">
        <v>140</v>
      </c>
      <c r="B373" s="74">
        <f t="shared" si="208"/>
        <v>21160.84999999993</v>
      </c>
      <c r="C373" s="1457">
        <v>16815.18</v>
      </c>
      <c r="D373" s="314">
        <v>17715.26</v>
      </c>
      <c r="E373" s="74"/>
      <c r="F373" s="74">
        <f t="shared" si="209"/>
        <v>20260.769999999928</v>
      </c>
      <c r="G373" s="297">
        <f t="shared" si="210"/>
        <v>0</v>
      </c>
      <c r="H373" s="1122"/>
      <c r="I373" s="305"/>
      <c r="J373" s="306">
        <f t="shared" si="215"/>
        <v>0</v>
      </c>
      <c r="K373" s="298">
        <f t="shared" si="211"/>
        <v>0</v>
      </c>
      <c r="L373" s="1330"/>
      <c r="M373" s="1445"/>
      <c r="N373" s="302">
        <f t="shared" si="216"/>
        <v>0</v>
      </c>
      <c r="O373" s="299">
        <f t="shared" si="212"/>
        <v>-9.360000000000015</v>
      </c>
      <c r="P373" s="1468">
        <v>14.98</v>
      </c>
      <c r="Q373" s="1468"/>
      <c r="R373" s="1468">
        <v>14.89</v>
      </c>
      <c r="S373" s="1467">
        <f t="shared" si="213"/>
        <v>-9.270000000000016</v>
      </c>
      <c r="T373" s="296">
        <f t="shared" si="217"/>
        <v>14.89</v>
      </c>
      <c r="U373" s="296">
        <f t="shared" si="218"/>
        <v>0</v>
      </c>
      <c r="V373" s="307">
        <f t="shared" si="219"/>
        <v>0</v>
      </c>
      <c r="W373" s="805">
        <f t="shared" si="220"/>
        <v>14.89</v>
      </c>
      <c r="X373" s="295">
        <f t="shared" si="221"/>
        <v>16830.16</v>
      </c>
      <c r="Y373" s="292">
        <f t="shared" si="222"/>
        <v>17730.149999999998</v>
      </c>
      <c r="Z373" s="584">
        <f t="shared" si="223"/>
        <v>17730.149999999998</v>
      </c>
      <c r="AA373" s="703"/>
      <c r="AB373" s="8">
        <f t="shared" si="214"/>
        <v>50625.869999999995</v>
      </c>
      <c r="AC373" s="8">
        <f t="shared" si="224"/>
        <v>51981.91</v>
      </c>
      <c r="AD373" s="775"/>
      <c r="AE373" s="774"/>
    </row>
    <row r="374" spans="1:31" ht="18.75">
      <c r="A374" s="708" t="s">
        <v>188</v>
      </c>
      <c r="B374" s="74">
        <f t="shared" si="208"/>
        <v>18530.23999999996</v>
      </c>
      <c r="C374" s="1464">
        <v>44632.88</v>
      </c>
      <c r="D374" s="1465">
        <v>43756.25</v>
      </c>
      <c r="E374" s="74"/>
      <c r="F374" s="74">
        <f t="shared" si="209"/>
        <v>19406.86999999996</v>
      </c>
      <c r="G374" s="297">
        <f t="shared" si="210"/>
        <v>-5759.510000000001</v>
      </c>
      <c r="H374" s="1123">
        <v>382.12</v>
      </c>
      <c r="I374" s="258">
        <v>382.12</v>
      </c>
      <c r="J374" s="306">
        <f t="shared" si="215"/>
        <v>-5759.510000000001</v>
      </c>
      <c r="K374" s="298">
        <f t="shared" si="211"/>
        <v>-56441.47</v>
      </c>
      <c r="L374" s="1330">
        <v>2463.16</v>
      </c>
      <c r="M374" s="527">
        <v>2463.16</v>
      </c>
      <c r="N374" s="302">
        <f t="shared" si="216"/>
        <v>-56441.47</v>
      </c>
      <c r="O374" s="299">
        <f t="shared" si="212"/>
        <v>-4848.990000000001</v>
      </c>
      <c r="P374" s="1468">
        <v>33.97</v>
      </c>
      <c r="Q374" s="1469"/>
      <c r="R374" s="1469">
        <v>31.23</v>
      </c>
      <c r="S374" s="1467">
        <f t="shared" si="213"/>
        <v>-4846.25</v>
      </c>
      <c r="T374" s="296">
        <f t="shared" si="217"/>
        <v>31.23</v>
      </c>
      <c r="U374" s="296">
        <f t="shared" si="218"/>
        <v>2463.16</v>
      </c>
      <c r="V374" s="307">
        <f t="shared" si="219"/>
        <v>382.12</v>
      </c>
      <c r="W374" s="805">
        <f t="shared" si="220"/>
        <v>2876.5099999999998</v>
      </c>
      <c r="X374" s="295">
        <f t="shared" si="221"/>
        <v>47512.130000000005</v>
      </c>
      <c r="Y374" s="292">
        <f t="shared" si="222"/>
        <v>46632.76</v>
      </c>
      <c r="Z374" s="584">
        <f t="shared" si="223"/>
        <v>43787.48</v>
      </c>
      <c r="AA374" s="792"/>
      <c r="AB374" s="8">
        <f t="shared" si="214"/>
        <v>142603.2</v>
      </c>
      <c r="AC374" s="8">
        <f t="shared" si="224"/>
        <v>157331.57</v>
      </c>
      <c r="AD374" s="775"/>
      <c r="AE374" s="774"/>
    </row>
    <row r="375" spans="1:31" ht="18.75">
      <c r="A375" s="709" t="s">
        <v>189</v>
      </c>
      <c r="B375" s="74">
        <f t="shared" si="208"/>
        <v>66908.51000000007</v>
      </c>
      <c r="C375" s="1464">
        <v>51798.79</v>
      </c>
      <c r="D375" s="1465">
        <v>50043.68</v>
      </c>
      <c r="E375" s="74"/>
      <c r="F375" s="74">
        <f t="shared" si="209"/>
        <v>68663.62000000008</v>
      </c>
      <c r="G375" s="297">
        <f t="shared" si="210"/>
        <v>-34577.2</v>
      </c>
      <c r="H375" s="1123">
        <v>2127.68</v>
      </c>
      <c r="I375" s="258">
        <v>2127.68</v>
      </c>
      <c r="J375" s="306">
        <f t="shared" si="215"/>
        <v>-34577.2</v>
      </c>
      <c r="K375" s="298">
        <f t="shared" si="211"/>
        <v>-16178.7</v>
      </c>
      <c r="L375" s="1330">
        <v>791.15</v>
      </c>
      <c r="M375" s="1446">
        <v>791.15</v>
      </c>
      <c r="N375" s="302">
        <f t="shared" si="216"/>
        <v>-16178.7</v>
      </c>
      <c r="O375" s="299">
        <f t="shared" si="212"/>
        <v>-48956.47999999998</v>
      </c>
      <c r="P375" s="1468">
        <v>146.05</v>
      </c>
      <c r="Q375" s="1469"/>
      <c r="R375" s="1469">
        <v>119.78</v>
      </c>
      <c r="S375" s="1467">
        <f t="shared" si="213"/>
        <v>-48930.20999999998</v>
      </c>
      <c r="T375" s="296">
        <f t="shared" si="217"/>
        <v>119.78</v>
      </c>
      <c r="U375" s="296">
        <f t="shared" si="218"/>
        <v>791.15</v>
      </c>
      <c r="V375" s="307">
        <f t="shared" si="219"/>
        <v>2127.68</v>
      </c>
      <c r="W375" s="805">
        <f t="shared" si="220"/>
        <v>3038.6099999999997</v>
      </c>
      <c r="X375" s="295">
        <f t="shared" si="221"/>
        <v>54863.670000000006</v>
      </c>
      <c r="Y375" s="292">
        <f t="shared" si="222"/>
        <v>53082.29</v>
      </c>
      <c r="Z375" s="584">
        <f t="shared" si="223"/>
        <v>50163.46</v>
      </c>
      <c r="AA375" s="792"/>
      <c r="AB375" s="8">
        <f t="shared" si="214"/>
        <v>167698.52000000002</v>
      </c>
      <c r="AC375" s="8">
        <f t="shared" si="224"/>
        <v>227343.69</v>
      </c>
      <c r="AD375" s="775"/>
      <c r="AE375" s="774"/>
    </row>
    <row r="376" spans="1:31" ht="18.75">
      <c r="A376" s="709" t="s">
        <v>218</v>
      </c>
      <c r="B376" s="74">
        <f t="shared" si="208"/>
        <v>109467.54000000004</v>
      </c>
      <c r="C376" s="1464">
        <v>47756.29</v>
      </c>
      <c r="D376" s="1465">
        <v>43669.44</v>
      </c>
      <c r="E376" s="74"/>
      <c r="F376" s="74">
        <f t="shared" si="209"/>
        <v>113554.39000000004</v>
      </c>
      <c r="G376" s="297">
        <f t="shared" si="210"/>
        <v>0</v>
      </c>
      <c r="H376" s="1125"/>
      <c r="I376" s="258"/>
      <c r="J376" s="306">
        <f t="shared" si="215"/>
        <v>0</v>
      </c>
      <c r="K376" s="298">
        <f t="shared" si="211"/>
        <v>-62945.81</v>
      </c>
      <c r="L376" s="1330"/>
      <c r="M376" s="1446"/>
      <c r="N376" s="302">
        <f t="shared" si="216"/>
        <v>-62945.81</v>
      </c>
      <c r="O376" s="299">
        <f t="shared" si="212"/>
        <v>-60564.950000000004</v>
      </c>
      <c r="P376" s="1468">
        <v>33.94</v>
      </c>
      <c r="Q376" s="1469"/>
      <c r="R376" s="1469">
        <v>33.94</v>
      </c>
      <c r="S376" s="1467">
        <f t="shared" si="213"/>
        <v>-60564.950000000004</v>
      </c>
      <c r="T376" s="296">
        <f t="shared" si="217"/>
        <v>33.94</v>
      </c>
      <c r="U376" s="296">
        <f t="shared" si="218"/>
        <v>0</v>
      </c>
      <c r="V376" s="307">
        <f t="shared" si="219"/>
        <v>0</v>
      </c>
      <c r="W376" s="805">
        <f t="shared" si="220"/>
        <v>33.94</v>
      </c>
      <c r="X376" s="295">
        <f t="shared" si="221"/>
        <v>47790.23</v>
      </c>
      <c r="Y376" s="292">
        <f t="shared" si="222"/>
        <v>43703.380000000005</v>
      </c>
      <c r="Z376" s="584">
        <f t="shared" si="223"/>
        <v>43703.380000000005</v>
      </c>
      <c r="AA376" s="792"/>
      <c r="AB376" s="8">
        <f t="shared" si="214"/>
        <v>145626.13</v>
      </c>
      <c r="AC376" s="8">
        <f t="shared" si="224"/>
        <v>140574.27999999997</v>
      </c>
      <c r="AD376" s="775"/>
      <c r="AE376" s="774"/>
    </row>
    <row r="377" spans="1:31" ht="18.75">
      <c r="A377" s="709" t="s">
        <v>249</v>
      </c>
      <c r="B377" s="74">
        <f t="shared" si="208"/>
        <v>28165.84000000001</v>
      </c>
      <c r="C377" s="1464">
        <v>17768.29</v>
      </c>
      <c r="D377" s="1465">
        <v>16600.99</v>
      </c>
      <c r="E377" s="74"/>
      <c r="F377" s="74">
        <f t="shared" si="209"/>
        <v>29333.14000000001</v>
      </c>
      <c r="G377" s="297">
        <f t="shared" si="210"/>
        <v>0</v>
      </c>
      <c r="H377" s="1125"/>
      <c r="I377" s="258"/>
      <c r="J377" s="306">
        <f t="shared" si="215"/>
        <v>0</v>
      </c>
      <c r="K377" s="298">
        <f t="shared" si="211"/>
        <v>0</v>
      </c>
      <c r="L377" s="1330"/>
      <c r="M377" s="1446"/>
      <c r="N377" s="302">
        <f t="shared" si="216"/>
        <v>0</v>
      </c>
      <c r="O377" s="299">
        <f t="shared" si="212"/>
        <v>-3720.35</v>
      </c>
      <c r="P377" s="1468">
        <v>35.99</v>
      </c>
      <c r="Q377" s="1469"/>
      <c r="R377" s="1469">
        <v>33.79</v>
      </c>
      <c r="S377" s="1467">
        <f t="shared" si="213"/>
        <v>-3718.15</v>
      </c>
      <c r="T377" s="296">
        <f t="shared" si="217"/>
        <v>33.79</v>
      </c>
      <c r="U377" s="296">
        <f t="shared" si="218"/>
        <v>0</v>
      </c>
      <c r="V377" s="307">
        <f t="shared" si="219"/>
        <v>0</v>
      </c>
      <c r="W377" s="805">
        <f t="shared" si="220"/>
        <v>33.79</v>
      </c>
      <c r="X377" s="295">
        <f t="shared" si="221"/>
        <v>17804.280000000002</v>
      </c>
      <c r="Y377" s="292">
        <f t="shared" si="222"/>
        <v>16634.780000000002</v>
      </c>
      <c r="Z377" s="584">
        <f t="shared" si="223"/>
        <v>16634.780000000002</v>
      </c>
      <c r="AA377" s="792"/>
      <c r="AB377" s="8">
        <f t="shared" si="214"/>
        <v>53509.90000000001</v>
      </c>
      <c r="AC377" s="8">
        <f t="shared" si="224"/>
        <v>57555</v>
      </c>
      <c r="AD377" s="775"/>
      <c r="AE377" s="774"/>
    </row>
    <row r="378" spans="1:31" ht="18.75">
      <c r="A378" s="709" t="s">
        <v>303</v>
      </c>
      <c r="B378" s="74">
        <f t="shared" si="208"/>
        <v>288715.6599999998</v>
      </c>
      <c r="C378" s="1464">
        <v>62851.63</v>
      </c>
      <c r="D378" s="1465">
        <v>65652.28</v>
      </c>
      <c r="E378" s="74"/>
      <c r="F378" s="74">
        <f t="shared" si="209"/>
        <v>285915.0099999998</v>
      </c>
      <c r="G378" s="297">
        <f t="shared" si="210"/>
        <v>0</v>
      </c>
      <c r="H378" s="1126"/>
      <c r="I378" s="258"/>
      <c r="J378" s="306">
        <f t="shared" si="215"/>
        <v>0</v>
      </c>
      <c r="K378" s="298">
        <f t="shared" si="211"/>
        <v>0</v>
      </c>
      <c r="L378" s="1462">
        <v>1889.09</v>
      </c>
      <c r="M378" s="1446">
        <v>1889.09</v>
      </c>
      <c r="N378" s="302">
        <f t="shared" si="216"/>
        <v>0</v>
      </c>
      <c r="O378" s="299">
        <f t="shared" si="212"/>
        <v>-4777.220000000001</v>
      </c>
      <c r="P378" s="1468">
        <v>64.96</v>
      </c>
      <c r="Q378" s="1469"/>
      <c r="R378" s="1469">
        <f>300.5+2310.39</f>
        <v>2610.89</v>
      </c>
      <c r="S378" s="1467">
        <f t="shared" si="213"/>
        <v>-7323.1500000000015</v>
      </c>
      <c r="T378" s="296">
        <f t="shared" si="217"/>
        <v>2610.89</v>
      </c>
      <c r="U378" s="296">
        <f t="shared" si="218"/>
        <v>1889.09</v>
      </c>
      <c r="V378" s="307">
        <f t="shared" si="219"/>
        <v>0</v>
      </c>
      <c r="W378" s="805">
        <f t="shared" si="220"/>
        <v>4499.98</v>
      </c>
      <c r="X378" s="295">
        <f t="shared" si="221"/>
        <v>64805.67999999999</v>
      </c>
      <c r="Y378" s="295">
        <f>D378+I378+M378+R378</f>
        <v>70152.26</v>
      </c>
      <c r="Z378" s="584">
        <f t="shared" si="223"/>
        <v>68263.17</v>
      </c>
      <c r="AA378" s="792"/>
      <c r="AB378" s="8">
        <f t="shared" si="214"/>
        <v>194516.96</v>
      </c>
      <c r="AC378" s="8">
        <f t="shared" si="224"/>
        <v>216463.58</v>
      </c>
      <c r="AD378" s="775"/>
      <c r="AE378" s="774"/>
    </row>
    <row r="379" spans="1:31" ht="19.5" thickBot="1">
      <c r="A379" s="709" t="s">
        <v>317</v>
      </c>
      <c r="B379" s="74">
        <f t="shared" si="208"/>
        <v>203335.2599999999</v>
      </c>
      <c r="C379" s="1464">
        <v>63992.51</v>
      </c>
      <c r="D379" s="1465">
        <v>68369.85</v>
      </c>
      <c r="E379" s="74"/>
      <c r="F379" s="74">
        <f t="shared" si="209"/>
        <v>198957.9199999999</v>
      </c>
      <c r="G379" s="297">
        <f t="shared" si="210"/>
        <v>0</v>
      </c>
      <c r="H379" s="1127"/>
      <c r="I379" s="258"/>
      <c r="J379" s="306">
        <f t="shared" si="215"/>
        <v>0</v>
      </c>
      <c r="K379" s="298">
        <f t="shared" si="211"/>
        <v>1674.4100000000008</v>
      </c>
      <c r="L379" s="1328">
        <v>6247.31</v>
      </c>
      <c r="M379" s="1446">
        <v>6811.83</v>
      </c>
      <c r="N379" s="302">
        <f t="shared" si="216"/>
        <v>1109.8900000000012</v>
      </c>
      <c r="O379" s="299">
        <f t="shared" si="212"/>
        <v>-17178.149999999998</v>
      </c>
      <c r="P379" s="1468">
        <v>496.73</v>
      </c>
      <c r="Q379" s="1469"/>
      <c r="R379" s="1469">
        <f>682.63+1351.35</f>
        <v>2033.98</v>
      </c>
      <c r="S379" s="1467">
        <f t="shared" si="213"/>
        <v>-18715.399999999998</v>
      </c>
      <c r="T379" s="307">
        <f>R379</f>
        <v>2033.98</v>
      </c>
      <c r="U379" s="296">
        <f t="shared" si="218"/>
        <v>6811.83</v>
      </c>
      <c r="V379" s="307">
        <f t="shared" si="219"/>
        <v>0</v>
      </c>
      <c r="W379" s="805">
        <f t="shared" si="220"/>
        <v>8845.81</v>
      </c>
      <c r="X379" s="295">
        <f t="shared" si="221"/>
        <v>70736.55</v>
      </c>
      <c r="Y379" s="295">
        <f>D379+I379+M379+R379</f>
        <v>77215.66</v>
      </c>
      <c r="Z379" s="584">
        <f t="shared" si="223"/>
        <v>70403.83</v>
      </c>
      <c r="AA379" s="792"/>
      <c r="AB379" s="8">
        <f t="shared" si="214"/>
        <v>212890.15000000002</v>
      </c>
      <c r="AC379" s="8">
        <f t="shared" si="224"/>
        <v>276019.79000000004</v>
      </c>
      <c r="AD379" s="775"/>
      <c r="AE379" s="774"/>
    </row>
    <row r="380" spans="1:35" ht="36.75" customHeight="1" thickBot="1">
      <c r="A380" s="1371" t="s">
        <v>127</v>
      </c>
      <c r="B380" s="1372">
        <f>SUM(B353:B379)</f>
        <v>2253149.040000002</v>
      </c>
      <c r="C380" s="1362">
        <f>SUM(C353:C379)</f>
        <v>1072612.4300000004</v>
      </c>
      <c r="D380" s="1362">
        <f>SUM(D353:D379)</f>
        <v>1065584.0000000002</v>
      </c>
      <c r="E380" s="1359"/>
      <c r="F380" s="1372">
        <f>SUM(F353:F379)</f>
        <v>2260177.470000002</v>
      </c>
      <c r="G380" s="1372">
        <f>SUM(G353:G379)</f>
        <v>-120041.18000000004</v>
      </c>
      <c r="H380" s="1367">
        <f>SUM(H353:H379)</f>
        <v>10373.919999999998</v>
      </c>
      <c r="I380" s="1362">
        <f>SUM(I353:I379)</f>
        <v>10373.919999999998</v>
      </c>
      <c r="J380" s="1372">
        <f aca="true" t="shared" si="225" ref="J380:P380">SUM(J353:J379)</f>
        <v>-120041.18000000004</v>
      </c>
      <c r="K380" s="1372">
        <f t="shared" si="225"/>
        <v>-165088.11</v>
      </c>
      <c r="L380" s="1362">
        <f t="shared" si="225"/>
        <v>36289.53</v>
      </c>
      <c r="M380" s="1363">
        <f t="shared" si="225"/>
        <v>34603.79</v>
      </c>
      <c r="N380" s="1372">
        <f t="shared" si="225"/>
        <v>-163402.36999999997</v>
      </c>
      <c r="O380" s="1372">
        <f t="shared" si="225"/>
        <v>-143506.97</v>
      </c>
      <c r="P380" s="1363">
        <f t="shared" si="225"/>
        <v>2483.4900000000007</v>
      </c>
      <c r="Q380" s="1359"/>
      <c r="R380" s="1363">
        <f>SUM(R353:R379)</f>
        <v>6508.09</v>
      </c>
      <c r="S380" s="1372">
        <f>O380+P380-R380</f>
        <v>-147531.57</v>
      </c>
      <c r="T380" s="1363">
        <f>SUM(T353:T376)</f>
        <v>1829.4300000000003</v>
      </c>
      <c r="U380" s="1363">
        <f>SUM(U353:U376)</f>
        <v>25902.87</v>
      </c>
      <c r="V380" s="1362">
        <f>SUM(V353:V376)</f>
        <v>10373.919999999998</v>
      </c>
      <c r="W380" s="1359">
        <f t="shared" si="220"/>
        <v>38106.22</v>
      </c>
      <c r="X380" s="1372">
        <f>SUM(X353:X379)</f>
        <v>1121759.37</v>
      </c>
      <c r="Y380" s="1359">
        <f>SUM(Y353:Y379)</f>
        <v>1117069.8</v>
      </c>
      <c r="Z380" s="813">
        <f>SUM(Z353:Z379)</f>
        <v>1072092.09</v>
      </c>
      <c r="AA380" s="704"/>
      <c r="AB380" s="48">
        <f>SUM(AB353:AB379)</f>
        <v>3370901.2600000002</v>
      </c>
      <c r="AC380" s="48">
        <f>SUM(AC353:AC379)</f>
        <v>3847100.7399999998</v>
      </c>
      <c r="AD380" s="550"/>
      <c r="AE380" s="774"/>
      <c r="AF380" s="11"/>
      <c r="AG380" s="11"/>
      <c r="AH380" s="11"/>
      <c r="AI380" s="11"/>
    </row>
    <row r="381" spans="1:35" s="667" customFormat="1" ht="36.75" customHeight="1" thickBot="1">
      <c r="A381" s="871"/>
      <c r="B381" s="872"/>
      <c r="C381" s="669"/>
      <c r="D381" s="669"/>
      <c r="E381" s="873"/>
      <c r="F381" s="872"/>
      <c r="G381" s="873"/>
      <c r="H381" s="874"/>
      <c r="I381" s="872"/>
      <c r="J381" s="873"/>
      <c r="K381" s="873"/>
      <c r="L381" s="875"/>
      <c r="M381" s="874"/>
      <c r="N381" s="873"/>
      <c r="O381" s="873"/>
      <c r="P381" s="874"/>
      <c r="Q381" s="873"/>
      <c r="R381" s="874"/>
      <c r="S381" s="873"/>
      <c r="T381" s="876"/>
      <c r="U381" s="876"/>
      <c r="V381" s="875"/>
      <c r="W381" s="873"/>
      <c r="X381" s="872"/>
      <c r="Y381" s="873"/>
      <c r="Z381" s="669"/>
      <c r="AA381" s="877"/>
      <c r="AB381" s="878"/>
      <c r="AC381" s="878"/>
      <c r="AD381" s="550"/>
      <c r="AE381" s="774"/>
      <c r="AF381" s="550"/>
      <c r="AG381" s="550"/>
      <c r="AH381" s="550"/>
      <c r="AI381" s="550"/>
    </row>
    <row r="382" spans="1:35" ht="21.75" thickBot="1">
      <c r="A382" s="240"/>
      <c r="B382" s="69" t="s">
        <v>232</v>
      </c>
      <c r="C382" s="69"/>
      <c r="D382" s="69"/>
      <c r="E382" s="69"/>
      <c r="F382" s="68"/>
      <c r="G382" s="5"/>
      <c r="H382" s="4"/>
      <c r="I382" s="5"/>
      <c r="J382" s="5" t="s">
        <v>64</v>
      </c>
      <c r="K382" s="6"/>
      <c r="L382" s="5"/>
      <c r="O382" s="2"/>
      <c r="S382" s="240" t="s">
        <v>46</v>
      </c>
      <c r="X382" s="703" t="s">
        <v>174</v>
      </c>
      <c r="Y382" s="703"/>
      <c r="Z382" s="703"/>
      <c r="AA382" s="763"/>
      <c r="AB382" s="776"/>
      <c r="AC382" s="673"/>
      <c r="AD382" s="673"/>
      <c r="AE382" s="674"/>
      <c r="AF382" s="11"/>
      <c r="AG382" s="11"/>
      <c r="AH382" s="11"/>
      <c r="AI382" s="11"/>
    </row>
    <row r="383" spans="1:35" ht="40.5" customHeight="1" thickBot="1">
      <c r="A383" s="408" t="s">
        <v>143</v>
      </c>
      <c r="B383" s="1670" t="s">
        <v>233</v>
      </c>
      <c r="C383" s="1585" t="s">
        <v>2</v>
      </c>
      <c r="D383" s="1586"/>
      <c r="E383" s="1586"/>
      <c r="F383" s="1591"/>
      <c r="G383" s="85" t="s">
        <v>27</v>
      </c>
      <c r="H383" s="1594" t="s">
        <v>3</v>
      </c>
      <c r="I383" s="1595"/>
      <c r="J383" s="1596"/>
      <c r="K383" s="88" t="s">
        <v>27</v>
      </c>
      <c r="L383" s="1582" t="s">
        <v>4</v>
      </c>
      <c r="M383" s="1583"/>
      <c r="N383" s="1584"/>
      <c r="O383" s="84" t="s">
        <v>27</v>
      </c>
      <c r="P383" s="1585" t="s">
        <v>23</v>
      </c>
      <c r="Q383" s="1586"/>
      <c r="R383" s="1586"/>
      <c r="S383" s="1587"/>
      <c r="T383" s="1579" t="s">
        <v>467</v>
      </c>
      <c r="U383" s="1580"/>
      <c r="V383" s="1580"/>
      <c r="W383" s="1581"/>
      <c r="X383" s="1573" t="s">
        <v>468</v>
      </c>
      <c r="Y383" s="1574"/>
      <c r="Z383" s="1574"/>
      <c r="AA383" s="1575"/>
      <c r="AB383" s="764"/>
      <c r="AC383" s="293"/>
      <c r="AD383" s="293"/>
      <c r="AE383" s="765"/>
      <c r="AF383" s="11"/>
      <c r="AG383" s="1674"/>
      <c r="AH383" s="1675"/>
      <c r="AI383" s="11"/>
    </row>
    <row r="384" spans="1:35" ht="54.75" thickBot="1">
      <c r="A384" s="111" t="s">
        <v>1</v>
      </c>
      <c r="B384" s="1671"/>
      <c r="C384" s="81" t="s">
        <v>5</v>
      </c>
      <c r="D384" s="81" t="s">
        <v>6</v>
      </c>
      <c r="E384" s="81" t="s">
        <v>65</v>
      </c>
      <c r="F384" s="81" t="s">
        <v>234</v>
      </c>
      <c r="G384" s="86" t="s">
        <v>233</v>
      </c>
      <c r="H384" s="1201" t="s">
        <v>5</v>
      </c>
      <c r="I384" s="1201" t="s">
        <v>6</v>
      </c>
      <c r="J384" s="86" t="s">
        <v>235</v>
      </c>
      <c r="K384" s="1196" t="s">
        <v>233</v>
      </c>
      <c r="L384" s="1196" t="s">
        <v>5</v>
      </c>
      <c r="M384" s="1196" t="s">
        <v>6</v>
      </c>
      <c r="N384" s="1196" t="s">
        <v>236</v>
      </c>
      <c r="O384" s="1204" t="s">
        <v>233</v>
      </c>
      <c r="P384" s="1204" t="s">
        <v>5</v>
      </c>
      <c r="Q384" s="1204" t="s">
        <v>64</v>
      </c>
      <c r="R384" s="1204" t="s">
        <v>6</v>
      </c>
      <c r="S384" s="1204" t="s">
        <v>237</v>
      </c>
      <c r="T384" s="244" t="s">
        <v>117</v>
      </c>
      <c r="U384" s="239" t="s">
        <v>69</v>
      </c>
      <c r="V384" s="239" t="s">
        <v>95</v>
      </c>
      <c r="W384" s="245" t="s">
        <v>103</v>
      </c>
      <c r="X384" s="825" t="s">
        <v>116</v>
      </c>
      <c r="Y384" s="823" t="s">
        <v>69</v>
      </c>
      <c r="Z384" s="826" t="s">
        <v>82</v>
      </c>
      <c r="AA384" s="827" t="s">
        <v>75</v>
      </c>
      <c r="AB384" s="824" t="s">
        <v>169</v>
      </c>
      <c r="AC384" s="1183" t="s">
        <v>36</v>
      </c>
      <c r="AD384" s="1183" t="s">
        <v>26</v>
      </c>
      <c r="AE384" s="1184" t="s">
        <v>160</v>
      </c>
      <c r="AF384" s="11"/>
      <c r="AG384" s="1161"/>
      <c r="AH384" s="832"/>
      <c r="AI384" s="11"/>
    </row>
    <row r="385" spans="1:35" ht="18.75">
      <c r="A385" s="109" t="s">
        <v>50</v>
      </c>
      <c r="B385" s="74">
        <f aca="true" t="shared" si="226" ref="B385:B411">F353</f>
        <v>115171.64999999995</v>
      </c>
      <c r="C385" s="1484">
        <v>15347.67</v>
      </c>
      <c r="D385" s="1176">
        <v>19425.3</v>
      </c>
      <c r="E385" s="72"/>
      <c r="F385" s="74">
        <f>B385+C385-D385</f>
        <v>111094.01999999995</v>
      </c>
      <c r="G385" s="308">
        <f aca="true" t="shared" si="227" ref="G385:G411">J353</f>
        <v>-9719.85000000002</v>
      </c>
      <c r="H385" s="1496">
        <v>1219.32</v>
      </c>
      <c r="I385" s="1168">
        <v>1219.32</v>
      </c>
      <c r="J385" s="306">
        <f>G385+H385-I385+10939.17</f>
        <v>1219.3199999999797</v>
      </c>
      <c r="K385" s="309">
        <f>N353</f>
        <v>-545.3099999999995</v>
      </c>
      <c r="L385" s="89">
        <v>4819.88</v>
      </c>
      <c r="M385" s="1466">
        <v>9639.76</v>
      </c>
      <c r="N385" s="302">
        <f aca="true" t="shared" si="228" ref="N385:N411">K385+L385-M385</f>
        <v>-5365.19</v>
      </c>
      <c r="O385" s="310">
        <f aca="true" t="shared" si="229" ref="O385:O411">S353</f>
        <v>-1539.15</v>
      </c>
      <c r="P385" s="1176">
        <v>103.47</v>
      </c>
      <c r="Q385" s="1166"/>
      <c r="R385" s="1489">
        <v>95.91</v>
      </c>
      <c r="S385" s="291">
        <f aca="true" t="shared" si="230" ref="S385:S412">O385+P385-R385</f>
        <v>-1531.5900000000001</v>
      </c>
      <c r="T385" s="316">
        <f>R385</f>
        <v>95.91</v>
      </c>
      <c r="U385" s="317">
        <f>M385</f>
        <v>9639.76</v>
      </c>
      <c r="V385" s="317">
        <f>I385</f>
        <v>1219.32</v>
      </c>
      <c r="W385" s="1505">
        <f>T385+U385+V385</f>
        <v>10954.99</v>
      </c>
      <c r="X385" s="828">
        <f aca="true" t="shared" si="231" ref="X385:Z411">T322+T353+T385</f>
        <v>258.11</v>
      </c>
      <c r="Y385" s="829">
        <f>U322+U353+U385</f>
        <v>19279.52</v>
      </c>
      <c r="Z385" s="829">
        <f>V322+V353+V385</f>
        <v>25592.22</v>
      </c>
      <c r="AA385" s="822">
        <f>Y385+Z385</f>
        <v>44871.740000000005</v>
      </c>
      <c r="AB385" s="620">
        <f>Y385+Z385</f>
        <v>44871.740000000005</v>
      </c>
      <c r="AC385" s="830">
        <f>C385+H385+L385+P385</f>
        <v>21490.340000000004</v>
      </c>
      <c r="AD385" s="831">
        <f>D385+I385+M385+R385</f>
        <v>30380.289999999997</v>
      </c>
      <c r="AE385" s="1543">
        <f>D385+R385</f>
        <v>19521.21</v>
      </c>
      <c r="AF385" s="11"/>
      <c r="AG385" s="833"/>
      <c r="AH385" s="833"/>
      <c r="AI385" s="11"/>
    </row>
    <row r="386" spans="1:35" ht="18.75">
      <c r="A386" s="110" t="s">
        <v>53</v>
      </c>
      <c r="B386" s="74">
        <f t="shared" si="226"/>
        <v>132366.53000000026</v>
      </c>
      <c r="C386" s="1484">
        <v>33877.29</v>
      </c>
      <c r="D386" s="1176">
        <v>40567.66</v>
      </c>
      <c r="E386" s="72"/>
      <c r="F386" s="74">
        <f aca="true" t="shared" si="232" ref="F386:F411">B386+C386-D386</f>
        <v>125676.16000000027</v>
      </c>
      <c r="G386" s="308">
        <f t="shared" si="227"/>
        <v>-2842.4000000000005</v>
      </c>
      <c r="H386" s="1496">
        <v>294.05</v>
      </c>
      <c r="I386" s="1168">
        <v>294.05</v>
      </c>
      <c r="J386" s="306">
        <f>G386+H386-I386+3136.45</f>
        <v>294.0499999999993</v>
      </c>
      <c r="K386" s="309">
        <f aca="true" t="shared" si="233" ref="K386:K411">N354</f>
        <v>-3623.4</v>
      </c>
      <c r="L386" s="89">
        <v>137.45</v>
      </c>
      <c r="M386" s="1466">
        <v>137.45</v>
      </c>
      <c r="N386" s="302">
        <f t="shared" si="228"/>
        <v>-3623.4</v>
      </c>
      <c r="O386" s="310">
        <f t="shared" si="229"/>
        <v>168.56000000000006</v>
      </c>
      <c r="P386" s="1176">
        <v>52.74</v>
      </c>
      <c r="Q386" s="1166"/>
      <c r="R386" s="1489">
        <v>69.07</v>
      </c>
      <c r="S386" s="291">
        <f t="shared" si="230"/>
        <v>152.23000000000008</v>
      </c>
      <c r="T386" s="316">
        <f aca="true" t="shared" si="234" ref="T386:T411">R386</f>
        <v>69.07</v>
      </c>
      <c r="U386" s="317">
        <f aca="true" t="shared" si="235" ref="U386:U411">M386</f>
        <v>137.45</v>
      </c>
      <c r="V386" s="317">
        <f aca="true" t="shared" si="236" ref="V386:V411">I386</f>
        <v>294.05</v>
      </c>
      <c r="W386" s="1505">
        <f aca="true" t="shared" si="237" ref="W386:W411">T386+U386+V386</f>
        <v>500.57</v>
      </c>
      <c r="X386" s="828">
        <f t="shared" si="231"/>
        <v>230.18</v>
      </c>
      <c r="Y386" s="829">
        <f t="shared" si="231"/>
        <v>412.34999999999997</v>
      </c>
      <c r="Z386" s="829">
        <f t="shared" si="231"/>
        <v>6335.35</v>
      </c>
      <c r="AA386" s="822">
        <f aca="true" t="shared" si="238" ref="AA386:AA411">Y386+Z386</f>
        <v>6747.700000000001</v>
      </c>
      <c r="AB386" s="620">
        <f aca="true" t="shared" si="239" ref="AB386:AB411">Y386+Z386</f>
        <v>6747.700000000001</v>
      </c>
      <c r="AC386" s="830">
        <f aca="true" t="shared" si="240" ref="AC386:AC411">C386+H386+L386+P386</f>
        <v>34361.53</v>
      </c>
      <c r="AD386" s="831">
        <f aca="true" t="shared" si="241" ref="AD386:AD411">D386+I386+M386+R386</f>
        <v>41068.23</v>
      </c>
      <c r="AE386" s="1543">
        <f aca="true" t="shared" si="242" ref="AE386:AE411">D386+R386</f>
        <v>40636.73</v>
      </c>
      <c r="AF386" s="11"/>
      <c r="AG386" s="833"/>
      <c r="AH386" s="833"/>
      <c r="AI386" s="11"/>
    </row>
    <row r="387" spans="1:35" ht="18.75">
      <c r="A387" s="110" t="s">
        <v>8</v>
      </c>
      <c r="B387" s="74">
        <f t="shared" si="226"/>
        <v>74445.62</v>
      </c>
      <c r="C387" s="1485"/>
      <c r="D387" s="1177"/>
      <c r="E387" s="74"/>
      <c r="F387" s="74">
        <f t="shared" si="232"/>
        <v>74445.62</v>
      </c>
      <c r="G387" s="308">
        <f t="shared" si="227"/>
        <v>0</v>
      </c>
      <c r="H387" s="1497"/>
      <c r="I387" s="1169"/>
      <c r="J387" s="306">
        <f>G387+H387-I387</f>
        <v>0</v>
      </c>
      <c r="K387" s="309">
        <f t="shared" si="233"/>
        <v>0</v>
      </c>
      <c r="L387" s="89"/>
      <c r="M387" s="1486"/>
      <c r="N387" s="302">
        <f t="shared" si="228"/>
        <v>0</v>
      </c>
      <c r="O387" s="310">
        <f t="shared" si="229"/>
        <v>0</v>
      </c>
      <c r="P387" s="1177"/>
      <c r="Q387" s="1165"/>
      <c r="R387" s="1490"/>
      <c r="S387" s="291">
        <f t="shared" si="230"/>
        <v>0</v>
      </c>
      <c r="T387" s="316">
        <f t="shared" si="234"/>
        <v>0</v>
      </c>
      <c r="U387" s="317">
        <f t="shared" si="235"/>
        <v>0</v>
      </c>
      <c r="V387" s="317">
        <f t="shared" si="236"/>
        <v>0</v>
      </c>
      <c r="W387" s="1505">
        <f t="shared" si="237"/>
        <v>0</v>
      </c>
      <c r="X387" s="828">
        <f t="shared" si="231"/>
        <v>0</v>
      </c>
      <c r="Y387" s="829">
        <f t="shared" si="231"/>
        <v>0</v>
      </c>
      <c r="Z387" s="829">
        <f t="shared" si="231"/>
        <v>0</v>
      </c>
      <c r="AA387" s="822">
        <f t="shared" si="238"/>
        <v>0</v>
      </c>
      <c r="AB387" s="620">
        <f t="shared" si="239"/>
        <v>0</v>
      </c>
      <c r="AC387" s="830">
        <f t="shared" si="240"/>
        <v>0</v>
      </c>
      <c r="AD387" s="831">
        <f t="shared" si="241"/>
        <v>0</v>
      </c>
      <c r="AE387" s="1543">
        <f t="shared" si="242"/>
        <v>0</v>
      </c>
      <c r="AF387" s="11"/>
      <c r="AG387" s="833"/>
      <c r="AH387" s="833"/>
      <c r="AI387" s="11"/>
    </row>
    <row r="388" spans="1:35" ht="18.75">
      <c r="A388" s="110" t="s">
        <v>48</v>
      </c>
      <c r="B388" s="74">
        <f t="shared" si="226"/>
        <v>398973.97000000026</v>
      </c>
      <c r="C388" s="1485">
        <v>81815.33</v>
      </c>
      <c r="D388" s="1177">
        <v>99027.1</v>
      </c>
      <c r="E388" s="74"/>
      <c r="F388" s="74">
        <f t="shared" si="232"/>
        <v>381762.2000000003</v>
      </c>
      <c r="G388" s="308">
        <f t="shared" si="227"/>
        <v>-13659.690000000002</v>
      </c>
      <c r="H388" s="1498">
        <v>1401.11</v>
      </c>
      <c r="I388" s="315">
        <f>1401.11+1004.59</f>
        <v>2405.7</v>
      </c>
      <c r="J388" s="306">
        <f>G388+H388-I388+15060.8</f>
        <v>396.5199999999968</v>
      </c>
      <c r="K388" s="309">
        <f t="shared" si="233"/>
        <v>-1628.829999999999</v>
      </c>
      <c r="L388" s="89">
        <v>1696.52</v>
      </c>
      <c r="M388" s="1486">
        <v>3119.16</v>
      </c>
      <c r="N388" s="302">
        <f t="shared" si="228"/>
        <v>-3051.469999999999</v>
      </c>
      <c r="O388" s="310">
        <f t="shared" si="229"/>
        <v>-1843.0099999999993</v>
      </c>
      <c r="P388" s="1177">
        <v>557.59</v>
      </c>
      <c r="Q388" s="1167"/>
      <c r="R388" s="1490">
        <v>633.39</v>
      </c>
      <c r="S388" s="291">
        <f t="shared" si="230"/>
        <v>-1918.809999999999</v>
      </c>
      <c r="T388" s="316">
        <f t="shared" si="234"/>
        <v>633.39</v>
      </c>
      <c r="U388" s="317">
        <f t="shared" si="235"/>
        <v>3119.16</v>
      </c>
      <c r="V388" s="317">
        <f t="shared" si="236"/>
        <v>2405.7</v>
      </c>
      <c r="W388" s="1505">
        <f t="shared" si="237"/>
        <v>6158.25</v>
      </c>
      <c r="X388" s="828">
        <f t="shared" si="231"/>
        <v>956.41</v>
      </c>
      <c r="Y388" s="829">
        <f t="shared" si="231"/>
        <v>6512.2</v>
      </c>
      <c r="Z388" s="829">
        <f t="shared" si="231"/>
        <v>31318.280000000002</v>
      </c>
      <c r="AA388" s="822">
        <f t="shared" si="238"/>
        <v>37830.48</v>
      </c>
      <c r="AB388" s="620">
        <f t="shared" si="239"/>
        <v>37830.48</v>
      </c>
      <c r="AC388" s="830">
        <f t="shared" si="240"/>
        <v>85470.55</v>
      </c>
      <c r="AD388" s="831">
        <f t="shared" si="241"/>
        <v>105185.35</v>
      </c>
      <c r="AE388" s="1543">
        <f t="shared" si="242"/>
        <v>99660.49</v>
      </c>
      <c r="AF388" s="11"/>
      <c r="AG388" s="833"/>
      <c r="AH388" s="833"/>
      <c r="AI388" s="11"/>
    </row>
    <row r="389" spans="1:35" ht="18.75">
      <c r="A389" s="73" t="s">
        <v>9</v>
      </c>
      <c r="B389" s="74">
        <f t="shared" si="226"/>
        <v>139345.12</v>
      </c>
      <c r="C389" s="1485">
        <v>20365.01</v>
      </c>
      <c r="D389" s="1177">
        <v>21852.12</v>
      </c>
      <c r="E389" s="74"/>
      <c r="F389" s="74">
        <f t="shared" si="232"/>
        <v>137858.01</v>
      </c>
      <c r="G389" s="308">
        <f t="shared" si="227"/>
        <v>-17175.710000000014</v>
      </c>
      <c r="H389" s="1498">
        <f>1508.75+112.42</f>
        <v>1621.17</v>
      </c>
      <c r="I389" s="315">
        <v>1621.17</v>
      </c>
      <c r="J389" s="306">
        <f>G389+H389-I389+18796.88</f>
        <v>1621.1699999999873</v>
      </c>
      <c r="K389" s="309">
        <f t="shared" si="233"/>
        <v>0</v>
      </c>
      <c r="L389" s="89"/>
      <c r="M389" s="1486"/>
      <c r="N389" s="302">
        <f t="shared" si="228"/>
        <v>0</v>
      </c>
      <c r="O389" s="310">
        <f t="shared" si="229"/>
        <v>1091.4299999999996</v>
      </c>
      <c r="P389" s="1177">
        <v>138.14</v>
      </c>
      <c r="Q389" s="1165"/>
      <c r="R389" s="1490">
        <v>138.78</v>
      </c>
      <c r="S389" s="291">
        <f t="shared" si="230"/>
        <v>1090.7899999999997</v>
      </c>
      <c r="T389" s="316">
        <f t="shared" si="234"/>
        <v>138.78</v>
      </c>
      <c r="U389" s="317">
        <f t="shared" si="235"/>
        <v>0</v>
      </c>
      <c r="V389" s="317">
        <f t="shared" si="236"/>
        <v>1621.17</v>
      </c>
      <c r="W389" s="318">
        <f t="shared" si="237"/>
        <v>1759.95</v>
      </c>
      <c r="X389" s="828">
        <f t="shared" si="231"/>
        <v>407.48</v>
      </c>
      <c r="Y389" s="829">
        <f t="shared" si="231"/>
        <v>0</v>
      </c>
      <c r="Z389" s="829">
        <f t="shared" si="231"/>
        <v>36601.229999999996</v>
      </c>
      <c r="AA389" s="822">
        <f t="shared" si="238"/>
        <v>36601.229999999996</v>
      </c>
      <c r="AB389" s="620">
        <f t="shared" si="239"/>
        <v>36601.229999999996</v>
      </c>
      <c r="AC389" s="830">
        <f t="shared" si="240"/>
        <v>22124.32</v>
      </c>
      <c r="AD389" s="831">
        <f t="shared" si="241"/>
        <v>23612.07</v>
      </c>
      <c r="AE389" s="813">
        <f t="shared" si="242"/>
        <v>21990.899999999998</v>
      </c>
      <c r="AF389" s="11"/>
      <c r="AG389" s="833"/>
      <c r="AH389" s="833"/>
      <c r="AI389" s="11"/>
    </row>
    <row r="390" spans="1:35" ht="18.75">
      <c r="A390" s="73" t="s">
        <v>10</v>
      </c>
      <c r="B390" s="74">
        <f t="shared" si="226"/>
        <v>10148.610000000099</v>
      </c>
      <c r="C390" s="1485">
        <v>8796.01</v>
      </c>
      <c r="D390" s="1177">
        <v>8301.15</v>
      </c>
      <c r="E390" s="74"/>
      <c r="F390" s="74">
        <f t="shared" si="232"/>
        <v>10643.470000000098</v>
      </c>
      <c r="G390" s="308">
        <f t="shared" si="227"/>
        <v>0</v>
      </c>
      <c r="H390" s="1497"/>
      <c r="I390" s="315"/>
      <c r="J390" s="306">
        <f>G390+H390-I390</f>
        <v>0</v>
      </c>
      <c r="K390" s="309">
        <f t="shared" si="233"/>
        <v>0</v>
      </c>
      <c r="L390" s="89"/>
      <c r="M390" s="1486"/>
      <c r="N390" s="302">
        <f t="shared" si="228"/>
        <v>0</v>
      </c>
      <c r="O390" s="310">
        <f t="shared" si="229"/>
        <v>47.67999999999999</v>
      </c>
      <c r="P390" s="1177"/>
      <c r="Q390" s="1165"/>
      <c r="R390" s="1490"/>
      <c r="S390" s="291">
        <f t="shared" si="230"/>
        <v>47.67999999999999</v>
      </c>
      <c r="T390" s="316">
        <f t="shared" si="234"/>
        <v>0</v>
      </c>
      <c r="U390" s="317">
        <f t="shared" si="235"/>
        <v>0</v>
      </c>
      <c r="V390" s="317">
        <f t="shared" si="236"/>
        <v>0</v>
      </c>
      <c r="W390" s="1505">
        <f t="shared" si="237"/>
        <v>0</v>
      </c>
      <c r="X390" s="828">
        <f t="shared" si="231"/>
        <v>21.22</v>
      </c>
      <c r="Y390" s="829">
        <f t="shared" si="231"/>
        <v>0</v>
      </c>
      <c r="Z390" s="829">
        <f t="shared" si="231"/>
        <v>0</v>
      </c>
      <c r="AA390" s="822">
        <f t="shared" si="238"/>
        <v>0</v>
      </c>
      <c r="AB390" s="620">
        <f t="shared" si="239"/>
        <v>0</v>
      </c>
      <c r="AC390" s="830">
        <f t="shared" si="240"/>
        <v>8796.01</v>
      </c>
      <c r="AD390" s="831">
        <f t="shared" si="241"/>
        <v>8301.15</v>
      </c>
      <c r="AE390" s="1543">
        <f t="shared" si="242"/>
        <v>8301.15</v>
      </c>
      <c r="AF390" s="11"/>
      <c r="AG390" s="833"/>
      <c r="AH390" s="833"/>
      <c r="AI390" s="11"/>
    </row>
    <row r="391" spans="1:35" ht="18.75">
      <c r="A391" s="110" t="s">
        <v>11</v>
      </c>
      <c r="B391" s="74">
        <f t="shared" si="226"/>
        <v>8861.440000000028</v>
      </c>
      <c r="C391" s="1485">
        <v>8764.88</v>
      </c>
      <c r="D391" s="1177">
        <v>9210.93</v>
      </c>
      <c r="E391" s="74"/>
      <c r="F391" s="74">
        <f t="shared" si="232"/>
        <v>8415.390000000029</v>
      </c>
      <c r="G391" s="308">
        <f t="shared" si="227"/>
        <v>0</v>
      </c>
      <c r="H391" s="1497"/>
      <c r="I391" s="315"/>
      <c r="J391" s="306">
        <f>G391+H391-I391</f>
        <v>0</v>
      </c>
      <c r="K391" s="309">
        <f t="shared" si="233"/>
        <v>0</v>
      </c>
      <c r="L391" s="89"/>
      <c r="M391" s="1486"/>
      <c r="N391" s="302">
        <f t="shared" si="228"/>
        <v>0</v>
      </c>
      <c r="O391" s="310">
        <f t="shared" si="229"/>
        <v>89.53</v>
      </c>
      <c r="P391" s="1177">
        <v>8.84</v>
      </c>
      <c r="Q391" s="1165"/>
      <c r="R391" s="1490">
        <v>8.84</v>
      </c>
      <c r="S391" s="291">
        <f t="shared" si="230"/>
        <v>89.53</v>
      </c>
      <c r="T391" s="316">
        <f t="shared" si="234"/>
        <v>8.84</v>
      </c>
      <c r="U391" s="317">
        <f t="shared" si="235"/>
        <v>0</v>
      </c>
      <c r="V391" s="317">
        <f t="shared" si="236"/>
        <v>0</v>
      </c>
      <c r="W391" s="1505">
        <f t="shared" si="237"/>
        <v>8.84</v>
      </c>
      <c r="X391" s="828">
        <f t="shared" si="231"/>
        <v>8.99</v>
      </c>
      <c r="Y391" s="829">
        <f t="shared" si="231"/>
        <v>0</v>
      </c>
      <c r="Z391" s="829">
        <f t="shared" si="231"/>
        <v>0</v>
      </c>
      <c r="AA391" s="822">
        <f t="shared" si="238"/>
        <v>0</v>
      </c>
      <c r="AB391" s="620">
        <f t="shared" si="239"/>
        <v>0</v>
      </c>
      <c r="AC391" s="830">
        <f t="shared" si="240"/>
        <v>8773.72</v>
      </c>
      <c r="AD391" s="831">
        <f t="shared" si="241"/>
        <v>9219.77</v>
      </c>
      <c r="AE391" s="1543">
        <f t="shared" si="242"/>
        <v>9219.77</v>
      </c>
      <c r="AF391" s="11"/>
      <c r="AG391" s="833"/>
      <c r="AH391" s="833"/>
      <c r="AI391" s="11"/>
    </row>
    <row r="392" spans="1:35" ht="18.75">
      <c r="A392" s="73" t="s">
        <v>12</v>
      </c>
      <c r="B392" s="74">
        <f t="shared" si="226"/>
        <v>98284.44000000018</v>
      </c>
      <c r="C392" s="1485">
        <v>50194.42</v>
      </c>
      <c r="D392" s="1177">
        <v>54225.68</v>
      </c>
      <c r="E392" s="74"/>
      <c r="F392" s="74">
        <f t="shared" si="232"/>
        <v>94253.18000000017</v>
      </c>
      <c r="G392" s="308">
        <f t="shared" si="227"/>
        <v>-5690.080000000006</v>
      </c>
      <c r="H392" s="1498">
        <v>583.65</v>
      </c>
      <c r="I392" s="315">
        <v>583.65</v>
      </c>
      <c r="J392" s="306">
        <f>G392+H392-I392+6273.73</f>
        <v>583.6499999999933</v>
      </c>
      <c r="K392" s="309">
        <f t="shared" si="233"/>
        <v>1508.3999999999985</v>
      </c>
      <c r="L392" s="89">
        <v>1722.24</v>
      </c>
      <c r="M392" s="1486">
        <v>1722.24</v>
      </c>
      <c r="N392" s="302">
        <f t="shared" si="228"/>
        <v>1508.3999999999985</v>
      </c>
      <c r="O392" s="310">
        <f t="shared" si="229"/>
        <v>318.38</v>
      </c>
      <c r="P392" s="1177">
        <v>129.85</v>
      </c>
      <c r="Q392" s="1165"/>
      <c r="R392" s="1490">
        <v>89.57</v>
      </c>
      <c r="S392" s="291">
        <f t="shared" si="230"/>
        <v>358.66</v>
      </c>
      <c r="T392" s="316">
        <f t="shared" si="234"/>
        <v>89.57</v>
      </c>
      <c r="U392" s="317">
        <f t="shared" si="235"/>
        <v>1722.24</v>
      </c>
      <c r="V392" s="317">
        <f t="shared" si="236"/>
        <v>583.65</v>
      </c>
      <c r="W392" s="1505">
        <f t="shared" si="237"/>
        <v>2395.46</v>
      </c>
      <c r="X392" s="828">
        <f t="shared" si="231"/>
        <v>156.78</v>
      </c>
      <c r="Y392" s="829">
        <f t="shared" si="231"/>
        <v>5166.72</v>
      </c>
      <c r="Z392" s="829">
        <f t="shared" si="231"/>
        <v>12627.509999999998</v>
      </c>
      <c r="AA392" s="822">
        <f t="shared" si="238"/>
        <v>17794.23</v>
      </c>
      <c r="AB392" s="620">
        <f t="shared" si="239"/>
        <v>17794.23</v>
      </c>
      <c r="AC392" s="830">
        <f t="shared" si="240"/>
        <v>52630.159999999996</v>
      </c>
      <c r="AD392" s="831">
        <f t="shared" si="241"/>
        <v>56621.14</v>
      </c>
      <c r="AE392" s="1543">
        <f t="shared" si="242"/>
        <v>54315.25</v>
      </c>
      <c r="AF392" s="11"/>
      <c r="AG392" s="833"/>
      <c r="AH392" s="833"/>
      <c r="AI392" s="11"/>
    </row>
    <row r="393" spans="1:35" ht="18.75">
      <c r="A393" s="73" t="s">
        <v>13</v>
      </c>
      <c r="B393" s="74">
        <f t="shared" si="226"/>
        <v>58815.07000000002</v>
      </c>
      <c r="C393" s="1485">
        <v>29655.43</v>
      </c>
      <c r="D393" s="1177">
        <v>31214.98</v>
      </c>
      <c r="E393" s="74"/>
      <c r="F393" s="74">
        <f t="shared" si="232"/>
        <v>57255.52000000003</v>
      </c>
      <c r="G393" s="308">
        <f t="shared" si="227"/>
        <v>-1743.7000000000025</v>
      </c>
      <c r="H393" s="1498">
        <v>196.74</v>
      </c>
      <c r="I393" s="315">
        <v>196.74</v>
      </c>
      <c r="J393" s="306">
        <f>G393+H393-I393+1940.44</f>
        <v>196.7399999999975</v>
      </c>
      <c r="K393" s="309">
        <f t="shared" si="233"/>
        <v>-2290.02</v>
      </c>
      <c r="L393" s="89">
        <v>727.77</v>
      </c>
      <c r="M393" s="1486">
        <v>727.77</v>
      </c>
      <c r="N393" s="302">
        <f t="shared" si="228"/>
        <v>-2290.02</v>
      </c>
      <c r="O393" s="310">
        <f t="shared" si="229"/>
        <v>56.62000000000003</v>
      </c>
      <c r="P393" s="1177">
        <v>47.04</v>
      </c>
      <c r="Q393" s="1165"/>
      <c r="R393" s="1490">
        <v>47.01</v>
      </c>
      <c r="S393" s="291">
        <f t="shared" si="230"/>
        <v>56.65000000000003</v>
      </c>
      <c r="T393" s="316">
        <f t="shared" si="234"/>
        <v>47.01</v>
      </c>
      <c r="U393" s="317">
        <f t="shared" si="235"/>
        <v>727.77</v>
      </c>
      <c r="V393" s="317">
        <f t="shared" si="236"/>
        <v>196.74</v>
      </c>
      <c r="W393" s="318">
        <f t="shared" si="237"/>
        <v>971.52</v>
      </c>
      <c r="X393" s="828">
        <f t="shared" si="231"/>
        <v>124.53</v>
      </c>
      <c r="Y393" s="829">
        <f t="shared" si="231"/>
        <v>2911.08</v>
      </c>
      <c r="Z393" s="829">
        <f t="shared" si="231"/>
        <v>4256.58</v>
      </c>
      <c r="AA393" s="822">
        <f t="shared" si="238"/>
        <v>7167.66</v>
      </c>
      <c r="AB393" s="620">
        <f t="shared" si="239"/>
        <v>7167.66</v>
      </c>
      <c r="AC393" s="830">
        <f t="shared" si="240"/>
        <v>30626.980000000003</v>
      </c>
      <c r="AD393" s="831">
        <f t="shared" si="241"/>
        <v>32186.5</v>
      </c>
      <c r="AE393" s="1543">
        <f t="shared" si="242"/>
        <v>31261.989999999998</v>
      </c>
      <c r="AF393" s="11"/>
      <c r="AG393" s="833"/>
      <c r="AH393" s="833"/>
      <c r="AI393" s="11"/>
    </row>
    <row r="394" spans="1:35" ht="18.75">
      <c r="A394" s="73" t="s">
        <v>14</v>
      </c>
      <c r="B394" s="74">
        <f t="shared" si="226"/>
        <v>58339.3400000001</v>
      </c>
      <c r="C394" s="1485">
        <v>36574.19</v>
      </c>
      <c r="D394" s="1177">
        <v>39192.5</v>
      </c>
      <c r="E394" s="74"/>
      <c r="F394" s="74">
        <f t="shared" si="232"/>
        <v>55721.0300000001</v>
      </c>
      <c r="G394" s="308">
        <f t="shared" si="227"/>
        <v>-1290.7800000000002</v>
      </c>
      <c r="H394" s="1497"/>
      <c r="I394" s="315"/>
      <c r="J394" s="306">
        <f>G394+H394-I394+1290.78</f>
        <v>0</v>
      </c>
      <c r="K394" s="309">
        <f t="shared" si="233"/>
        <v>3582.24</v>
      </c>
      <c r="L394" s="89">
        <v>2926</v>
      </c>
      <c r="M394" s="1486">
        <v>3286.59</v>
      </c>
      <c r="N394" s="302">
        <f t="shared" si="228"/>
        <v>3221.6499999999996</v>
      </c>
      <c r="O394" s="310">
        <f t="shared" si="229"/>
        <v>-210.92000000000004</v>
      </c>
      <c r="P394" s="1177">
        <v>29.44</v>
      </c>
      <c r="Q394" s="1165"/>
      <c r="R394" s="1490">
        <v>29.44</v>
      </c>
      <c r="S394" s="291">
        <f t="shared" si="230"/>
        <v>-210.92000000000004</v>
      </c>
      <c r="T394" s="316">
        <f t="shared" si="234"/>
        <v>29.44</v>
      </c>
      <c r="U394" s="317">
        <f t="shared" si="235"/>
        <v>3286.59</v>
      </c>
      <c r="V394" s="317">
        <f t="shared" si="236"/>
        <v>0</v>
      </c>
      <c r="W394" s="1505">
        <f t="shared" si="237"/>
        <v>3316.03</v>
      </c>
      <c r="X394" s="828">
        <f t="shared" si="231"/>
        <v>393.03000000000003</v>
      </c>
      <c r="Y394" s="829">
        <f t="shared" si="231"/>
        <v>9981.17</v>
      </c>
      <c r="Z394" s="829">
        <f t="shared" si="231"/>
        <v>1291.08</v>
      </c>
      <c r="AA394" s="822">
        <f t="shared" si="238"/>
        <v>11272.25</v>
      </c>
      <c r="AB394" s="620">
        <f t="shared" si="239"/>
        <v>11272.25</v>
      </c>
      <c r="AC394" s="830">
        <f t="shared" si="240"/>
        <v>39529.630000000005</v>
      </c>
      <c r="AD394" s="831">
        <f t="shared" si="241"/>
        <v>42508.53</v>
      </c>
      <c r="AE394" s="1543">
        <f t="shared" si="242"/>
        <v>39221.94</v>
      </c>
      <c r="AF394" s="11"/>
      <c r="AG394" s="833"/>
      <c r="AH394" s="833"/>
      <c r="AI394" s="11"/>
    </row>
    <row r="395" spans="1:35" ht="18.75">
      <c r="A395" s="110" t="s">
        <v>55</v>
      </c>
      <c r="B395" s="74">
        <f t="shared" si="226"/>
        <v>36192.88000000002</v>
      </c>
      <c r="C395" s="1485">
        <v>16275.19</v>
      </c>
      <c r="D395" s="1177">
        <v>17804.89</v>
      </c>
      <c r="E395" s="74"/>
      <c r="F395" s="74">
        <f t="shared" si="232"/>
        <v>34663.18000000002</v>
      </c>
      <c r="G395" s="308">
        <f t="shared" si="227"/>
        <v>-2040.4999999999982</v>
      </c>
      <c r="H395" s="1498">
        <v>209.3</v>
      </c>
      <c r="I395" s="315">
        <v>209.3</v>
      </c>
      <c r="J395" s="306">
        <f>G395+H395-I395+2249.8</f>
        <v>209.300000000002</v>
      </c>
      <c r="K395" s="309">
        <f t="shared" si="233"/>
        <v>4296.480000000003</v>
      </c>
      <c r="L395" s="89">
        <v>773.21</v>
      </c>
      <c r="M395" s="1486">
        <v>2522.34</v>
      </c>
      <c r="N395" s="302">
        <f t="shared" si="228"/>
        <v>2547.350000000003</v>
      </c>
      <c r="O395" s="310">
        <f t="shared" si="229"/>
        <v>-762.13</v>
      </c>
      <c r="P395" s="1177">
        <v>20.96</v>
      </c>
      <c r="Q395" s="1165"/>
      <c r="R395" s="1490">
        <v>22.66</v>
      </c>
      <c r="S395" s="291">
        <f t="shared" si="230"/>
        <v>-763.8299999999999</v>
      </c>
      <c r="T395" s="316">
        <f t="shared" si="234"/>
        <v>22.66</v>
      </c>
      <c r="U395" s="317">
        <f t="shared" si="235"/>
        <v>2522.34</v>
      </c>
      <c r="V395" s="317">
        <f t="shared" si="236"/>
        <v>209.3</v>
      </c>
      <c r="W395" s="1505">
        <f t="shared" si="237"/>
        <v>2754.3</v>
      </c>
      <c r="X395" s="828">
        <f t="shared" si="231"/>
        <v>58.709999999999994</v>
      </c>
      <c r="Y395" s="829">
        <f t="shared" si="231"/>
        <v>3227.98</v>
      </c>
      <c r="Z395" s="829">
        <f t="shared" si="231"/>
        <v>4528.3</v>
      </c>
      <c r="AA395" s="822">
        <f t="shared" si="238"/>
        <v>7756.280000000001</v>
      </c>
      <c r="AB395" s="620">
        <f t="shared" si="239"/>
        <v>7756.280000000001</v>
      </c>
      <c r="AC395" s="830">
        <f t="shared" si="240"/>
        <v>17278.66</v>
      </c>
      <c r="AD395" s="831">
        <f t="shared" si="241"/>
        <v>20559.19</v>
      </c>
      <c r="AE395" s="1543">
        <f t="shared" si="242"/>
        <v>17827.55</v>
      </c>
      <c r="AF395" s="11"/>
      <c r="AG395" s="833"/>
      <c r="AH395" s="833"/>
      <c r="AI395" s="11"/>
    </row>
    <row r="396" spans="1:35" ht="18.75">
      <c r="A396" s="73" t="s">
        <v>15</v>
      </c>
      <c r="B396" s="74">
        <f t="shared" si="226"/>
        <v>129442.43000000033</v>
      </c>
      <c r="C396" s="1485">
        <v>39158.91</v>
      </c>
      <c r="D396" s="1177">
        <v>40934.97</v>
      </c>
      <c r="E396" s="74"/>
      <c r="F396" s="74">
        <f t="shared" si="232"/>
        <v>127666.37000000032</v>
      </c>
      <c r="G396" s="308">
        <f t="shared" si="227"/>
        <v>0</v>
      </c>
      <c r="H396" s="1497"/>
      <c r="I396" s="315"/>
      <c r="J396" s="306">
        <f>G396+H396-I396</f>
        <v>0</v>
      </c>
      <c r="K396" s="309">
        <f t="shared" si="233"/>
        <v>-43303.09</v>
      </c>
      <c r="L396" s="89">
        <v>2209.01</v>
      </c>
      <c r="M396" s="1486">
        <v>1200.18</v>
      </c>
      <c r="N396" s="302">
        <f t="shared" si="228"/>
        <v>-42294.259999999995</v>
      </c>
      <c r="O396" s="310">
        <f t="shared" si="229"/>
        <v>466.30999999999966</v>
      </c>
      <c r="P396" s="1177">
        <v>99.47</v>
      </c>
      <c r="Q396" s="1165"/>
      <c r="R396" s="1490">
        <v>108.64</v>
      </c>
      <c r="S396" s="291">
        <f t="shared" si="230"/>
        <v>457.13999999999965</v>
      </c>
      <c r="T396" s="316">
        <f t="shared" si="234"/>
        <v>108.64</v>
      </c>
      <c r="U396" s="317">
        <f t="shared" si="235"/>
        <v>1200.18</v>
      </c>
      <c r="V396" s="317">
        <f t="shared" si="236"/>
        <v>0</v>
      </c>
      <c r="W396" s="1505">
        <f t="shared" si="237"/>
        <v>1308.8200000000002</v>
      </c>
      <c r="X396" s="828">
        <f t="shared" si="231"/>
        <v>246.49</v>
      </c>
      <c r="Y396" s="829">
        <f t="shared" si="231"/>
        <v>60286.76</v>
      </c>
      <c r="Z396" s="829">
        <f t="shared" si="231"/>
        <v>0</v>
      </c>
      <c r="AA396" s="822">
        <f t="shared" si="238"/>
        <v>60286.76</v>
      </c>
      <c r="AB396" s="620">
        <f t="shared" si="239"/>
        <v>60286.76</v>
      </c>
      <c r="AC396" s="830">
        <f t="shared" si="240"/>
        <v>41467.39000000001</v>
      </c>
      <c r="AD396" s="831">
        <f t="shared" si="241"/>
        <v>42243.79</v>
      </c>
      <c r="AE396" s="1543">
        <f t="shared" si="242"/>
        <v>41043.61</v>
      </c>
      <c r="AF396" s="11"/>
      <c r="AG396" s="833"/>
      <c r="AH396" s="833"/>
      <c r="AI396" s="11"/>
    </row>
    <row r="397" spans="1:35" ht="18.75">
      <c r="A397" s="110" t="s">
        <v>16</v>
      </c>
      <c r="B397" s="74">
        <f t="shared" si="226"/>
        <v>38186.410000000076</v>
      </c>
      <c r="C397" s="1485">
        <v>31868.05</v>
      </c>
      <c r="D397" s="1177">
        <v>35093.48</v>
      </c>
      <c r="E397" s="74"/>
      <c r="F397" s="74">
        <f t="shared" si="232"/>
        <v>34960.980000000076</v>
      </c>
      <c r="G397" s="308">
        <f t="shared" si="227"/>
        <v>0</v>
      </c>
      <c r="H397" s="1497"/>
      <c r="I397" s="315"/>
      <c r="J397" s="306">
        <f>G397+H397-I397</f>
        <v>0</v>
      </c>
      <c r="K397" s="309">
        <f t="shared" si="233"/>
        <v>1820.480000000002</v>
      </c>
      <c r="L397" s="89">
        <v>328.3</v>
      </c>
      <c r="M397" s="1486">
        <v>984.9</v>
      </c>
      <c r="N397" s="302">
        <f t="shared" si="228"/>
        <v>1163.880000000002</v>
      </c>
      <c r="O397" s="310">
        <f t="shared" si="229"/>
        <v>26.25</v>
      </c>
      <c r="P397" s="1177">
        <v>14.92</v>
      </c>
      <c r="Q397" s="1165"/>
      <c r="R397" s="1490">
        <v>14.87</v>
      </c>
      <c r="S397" s="291">
        <f t="shared" si="230"/>
        <v>26.300000000000004</v>
      </c>
      <c r="T397" s="316">
        <f t="shared" si="234"/>
        <v>14.87</v>
      </c>
      <c r="U397" s="317">
        <f t="shared" si="235"/>
        <v>984.9</v>
      </c>
      <c r="V397" s="317">
        <f t="shared" si="236"/>
        <v>0</v>
      </c>
      <c r="W397" s="1505">
        <f t="shared" si="237"/>
        <v>999.77</v>
      </c>
      <c r="X397" s="828">
        <f t="shared" si="231"/>
        <v>90.73</v>
      </c>
      <c r="Y397" s="829">
        <f t="shared" si="231"/>
        <v>1969.8</v>
      </c>
      <c r="Z397" s="829">
        <f t="shared" si="231"/>
        <v>0</v>
      </c>
      <c r="AA397" s="822">
        <f t="shared" si="238"/>
        <v>1969.8</v>
      </c>
      <c r="AB397" s="620">
        <f t="shared" si="239"/>
        <v>1969.8</v>
      </c>
      <c r="AC397" s="830">
        <f t="shared" si="240"/>
        <v>32211.269999999997</v>
      </c>
      <c r="AD397" s="831">
        <f t="shared" si="241"/>
        <v>36093.25000000001</v>
      </c>
      <c r="AE397" s="1543">
        <f t="shared" si="242"/>
        <v>35108.350000000006</v>
      </c>
      <c r="AF397" s="11"/>
      <c r="AG397" s="833"/>
      <c r="AH397" s="833"/>
      <c r="AI397" s="11"/>
    </row>
    <row r="398" spans="1:35" ht="18.75">
      <c r="A398" s="73" t="s">
        <v>17</v>
      </c>
      <c r="B398" s="74">
        <f t="shared" si="226"/>
        <v>62196.24000000033</v>
      </c>
      <c r="C398" s="1485">
        <v>41492.76</v>
      </c>
      <c r="D398" s="1177">
        <v>42855.59</v>
      </c>
      <c r="E398" s="74"/>
      <c r="F398" s="74">
        <f t="shared" si="232"/>
        <v>60833.41000000034</v>
      </c>
      <c r="G398" s="308">
        <f t="shared" si="227"/>
        <v>-4051.8500000000013</v>
      </c>
      <c r="H398" s="1498">
        <v>415.61</v>
      </c>
      <c r="I398" s="315">
        <v>415.61</v>
      </c>
      <c r="J398" s="306">
        <f>G398+H398-I398+4467.46</f>
        <v>415.60999999999876</v>
      </c>
      <c r="K398" s="309">
        <f t="shared" si="233"/>
        <v>1318.6299999999997</v>
      </c>
      <c r="L398" s="1492">
        <v>699.06</v>
      </c>
      <c r="M398" s="1486">
        <v>699.06</v>
      </c>
      <c r="N398" s="302">
        <f t="shared" si="228"/>
        <v>1318.6299999999997</v>
      </c>
      <c r="O398" s="310">
        <f t="shared" si="229"/>
        <v>80.88</v>
      </c>
      <c r="P398" s="1177">
        <v>84.58</v>
      </c>
      <c r="Q398" s="1165"/>
      <c r="R398" s="1490">
        <v>68.63</v>
      </c>
      <c r="S398" s="291">
        <f t="shared" si="230"/>
        <v>96.82999999999998</v>
      </c>
      <c r="T398" s="316">
        <f t="shared" si="234"/>
        <v>68.63</v>
      </c>
      <c r="U398" s="317">
        <f t="shared" si="235"/>
        <v>699.06</v>
      </c>
      <c r="V398" s="317">
        <f t="shared" si="236"/>
        <v>415.61</v>
      </c>
      <c r="W398" s="1505">
        <f t="shared" si="237"/>
        <v>1183.3</v>
      </c>
      <c r="X398" s="828">
        <f t="shared" si="231"/>
        <v>118.47</v>
      </c>
      <c r="Y398" s="829">
        <f t="shared" si="231"/>
        <v>2097.18</v>
      </c>
      <c r="Z398" s="829">
        <f t="shared" si="231"/>
        <v>8991.91</v>
      </c>
      <c r="AA398" s="822">
        <f t="shared" si="238"/>
        <v>11089.09</v>
      </c>
      <c r="AB398" s="620">
        <f t="shared" si="239"/>
        <v>11089.09</v>
      </c>
      <c r="AC398" s="830">
        <f t="shared" si="240"/>
        <v>42692.01</v>
      </c>
      <c r="AD398" s="831">
        <f t="shared" si="241"/>
        <v>44038.88999999999</v>
      </c>
      <c r="AE398" s="1543">
        <f t="shared" si="242"/>
        <v>42924.219999999994</v>
      </c>
      <c r="AF398" s="11"/>
      <c r="AG398" s="833"/>
      <c r="AH398" s="833"/>
      <c r="AI398" s="11"/>
    </row>
    <row r="399" spans="1:35" ht="18.75">
      <c r="A399" s="73" t="s">
        <v>18</v>
      </c>
      <c r="B399" s="74">
        <f t="shared" si="226"/>
        <v>165564.64</v>
      </c>
      <c r="C399" s="1485">
        <v>88452</v>
      </c>
      <c r="D399" s="1177">
        <v>99434.36</v>
      </c>
      <c r="E399" s="74"/>
      <c r="F399" s="74">
        <f t="shared" si="232"/>
        <v>154582.28000000003</v>
      </c>
      <c r="G399" s="308">
        <f t="shared" si="227"/>
        <v>346.08999999999855</v>
      </c>
      <c r="H399" s="1497"/>
      <c r="I399" s="315"/>
      <c r="J399" s="306">
        <f>G399+H399-I399-346.09</f>
        <v>-1.4210854715202004E-12</v>
      </c>
      <c r="K399" s="309">
        <f t="shared" si="233"/>
        <v>3509.8000000000006</v>
      </c>
      <c r="L399" s="89">
        <v>2704.76</v>
      </c>
      <c r="M399" s="1486">
        <v>5507.6</v>
      </c>
      <c r="N399" s="302">
        <f t="shared" si="228"/>
        <v>706.960000000001</v>
      </c>
      <c r="O399" s="310">
        <f t="shared" si="229"/>
        <v>454.58000000000004</v>
      </c>
      <c r="P399" s="1177">
        <v>356.33</v>
      </c>
      <c r="Q399" s="1165"/>
      <c r="R399" s="1490">
        <v>407.83</v>
      </c>
      <c r="S399" s="291">
        <f t="shared" si="230"/>
        <v>403.0800000000001</v>
      </c>
      <c r="T399" s="316">
        <f t="shared" si="234"/>
        <v>407.83</v>
      </c>
      <c r="U399" s="317">
        <f t="shared" si="235"/>
        <v>5507.6</v>
      </c>
      <c r="V399" s="317">
        <f t="shared" si="236"/>
        <v>0</v>
      </c>
      <c r="W399" s="1505">
        <f t="shared" si="237"/>
        <v>5915.43</v>
      </c>
      <c r="X399" s="828">
        <f t="shared" si="231"/>
        <v>927.8199999999999</v>
      </c>
      <c r="Y399" s="829">
        <f t="shared" si="231"/>
        <v>11930.73</v>
      </c>
      <c r="Z399" s="829">
        <f t="shared" si="231"/>
        <v>0</v>
      </c>
      <c r="AA399" s="822">
        <f t="shared" si="238"/>
        <v>11930.73</v>
      </c>
      <c r="AB399" s="620">
        <f t="shared" si="239"/>
        <v>11930.73</v>
      </c>
      <c r="AC399" s="830">
        <f t="shared" si="240"/>
        <v>91513.09</v>
      </c>
      <c r="AD399" s="831">
        <f t="shared" si="241"/>
        <v>105349.79000000001</v>
      </c>
      <c r="AE399" s="1543">
        <f t="shared" si="242"/>
        <v>99842.19</v>
      </c>
      <c r="AF399" s="11"/>
      <c r="AG399" s="833"/>
      <c r="AH399" s="833"/>
      <c r="AI399" s="11"/>
    </row>
    <row r="400" spans="1:35" ht="18.75">
      <c r="A400" s="110" t="s">
        <v>54</v>
      </c>
      <c r="B400" s="74">
        <f t="shared" si="226"/>
        <v>58528.72000000037</v>
      </c>
      <c r="C400" s="1485">
        <v>37931.11</v>
      </c>
      <c r="D400" s="1177">
        <v>41885.1</v>
      </c>
      <c r="E400" s="74"/>
      <c r="F400" s="74">
        <f t="shared" si="232"/>
        <v>54574.73000000037</v>
      </c>
      <c r="G400" s="308">
        <f t="shared" si="227"/>
        <v>-2879.0799999999986</v>
      </c>
      <c r="H400" s="1498">
        <v>295.41</v>
      </c>
      <c r="I400" s="315">
        <v>295.41</v>
      </c>
      <c r="J400" s="306">
        <f>G400+H400-I400+3174.49</f>
        <v>295.4100000000012</v>
      </c>
      <c r="K400" s="309">
        <f t="shared" si="233"/>
        <v>0</v>
      </c>
      <c r="L400" s="89"/>
      <c r="M400" s="1486"/>
      <c r="N400" s="302">
        <f t="shared" si="228"/>
        <v>0</v>
      </c>
      <c r="O400" s="310">
        <f t="shared" si="229"/>
        <v>-1092.8500000000001</v>
      </c>
      <c r="P400" s="1177">
        <v>84.42</v>
      </c>
      <c r="Q400" s="1165"/>
      <c r="R400" s="1490">
        <v>102.05</v>
      </c>
      <c r="S400" s="291">
        <f t="shared" si="230"/>
        <v>-1110.4800000000002</v>
      </c>
      <c r="T400" s="316">
        <f t="shared" si="234"/>
        <v>102.05</v>
      </c>
      <c r="U400" s="317">
        <f t="shared" si="235"/>
        <v>0</v>
      </c>
      <c r="V400" s="317">
        <f t="shared" si="236"/>
        <v>295.41</v>
      </c>
      <c r="W400" s="1505">
        <f t="shared" si="237"/>
        <v>397.46000000000004</v>
      </c>
      <c r="X400" s="828">
        <f t="shared" si="231"/>
        <v>151.26999999999998</v>
      </c>
      <c r="Y400" s="829">
        <f t="shared" si="231"/>
        <v>0</v>
      </c>
      <c r="Z400" s="829">
        <f t="shared" si="231"/>
        <v>6391.35</v>
      </c>
      <c r="AA400" s="822">
        <f t="shared" si="238"/>
        <v>6391.35</v>
      </c>
      <c r="AB400" s="620">
        <f t="shared" si="239"/>
        <v>6391.35</v>
      </c>
      <c r="AC400" s="830">
        <f t="shared" si="240"/>
        <v>38310.94</v>
      </c>
      <c r="AD400" s="831">
        <f>D400+I400+M400+R400</f>
        <v>42282.560000000005</v>
      </c>
      <c r="AE400" s="1543">
        <f t="shared" si="242"/>
        <v>41987.15</v>
      </c>
      <c r="AF400" s="11"/>
      <c r="AG400" s="833"/>
      <c r="AH400" s="833"/>
      <c r="AI400" s="11"/>
    </row>
    <row r="401" spans="1:35" ht="18.75">
      <c r="A401" s="110" t="s">
        <v>49</v>
      </c>
      <c r="B401" s="74">
        <f t="shared" si="226"/>
        <v>213103.75000000023</v>
      </c>
      <c r="C401" s="1485">
        <v>80671.41</v>
      </c>
      <c r="D401" s="1177">
        <v>92550.48</v>
      </c>
      <c r="E401" s="74"/>
      <c r="F401" s="74">
        <f t="shared" si="232"/>
        <v>201224.68000000028</v>
      </c>
      <c r="G401" s="308">
        <f t="shared" si="227"/>
        <v>-8989.859999999997</v>
      </c>
      <c r="H401" s="1498">
        <v>922.12</v>
      </c>
      <c r="I401" s="315">
        <v>922.12</v>
      </c>
      <c r="J401" s="306">
        <f>G401+H401-I401+9911.98</f>
        <v>922.1200000000026</v>
      </c>
      <c r="K401" s="309">
        <f t="shared" si="233"/>
        <v>4202.9100000000035</v>
      </c>
      <c r="L401" s="89">
        <v>3411.59</v>
      </c>
      <c r="M401" s="1486">
        <v>3216.04</v>
      </c>
      <c r="N401" s="302">
        <f t="shared" si="228"/>
        <v>4398.460000000004</v>
      </c>
      <c r="O401" s="310">
        <f t="shared" si="229"/>
        <v>-800.1900000000003</v>
      </c>
      <c r="P401" s="1177">
        <v>263.76</v>
      </c>
      <c r="Q401" s="1165"/>
      <c r="R401" s="1490">
        <v>296.43</v>
      </c>
      <c r="S401" s="291">
        <f t="shared" si="230"/>
        <v>-832.8600000000004</v>
      </c>
      <c r="T401" s="316">
        <f t="shared" si="234"/>
        <v>296.43</v>
      </c>
      <c r="U401" s="317">
        <f t="shared" si="235"/>
        <v>3216.04</v>
      </c>
      <c r="V401" s="317">
        <f t="shared" si="236"/>
        <v>922.12</v>
      </c>
      <c r="W401" s="1505">
        <f t="shared" si="237"/>
        <v>4434.59</v>
      </c>
      <c r="X401" s="828">
        <f t="shared" si="231"/>
        <v>498.02</v>
      </c>
      <c r="Y401" s="829">
        <f t="shared" si="231"/>
        <v>13182.3</v>
      </c>
      <c r="Z401" s="829">
        <f t="shared" si="231"/>
        <v>19950.44</v>
      </c>
      <c r="AA401" s="822">
        <f t="shared" si="238"/>
        <v>33132.74</v>
      </c>
      <c r="AB401" s="620">
        <f t="shared" si="239"/>
        <v>33132.74</v>
      </c>
      <c r="AC401" s="830">
        <f t="shared" si="240"/>
        <v>85268.87999999999</v>
      </c>
      <c r="AD401" s="831">
        <f t="shared" si="241"/>
        <v>96985.06999999998</v>
      </c>
      <c r="AE401" s="1543">
        <f t="shared" si="242"/>
        <v>92846.90999999999</v>
      </c>
      <c r="AF401" s="11"/>
      <c r="AG401" s="833"/>
      <c r="AH401" s="833"/>
      <c r="AI401" s="11"/>
    </row>
    <row r="402" spans="1:35" ht="18.75">
      <c r="A402" s="73" t="s">
        <v>19</v>
      </c>
      <c r="B402" s="74">
        <f t="shared" si="226"/>
        <v>105563.25999999998</v>
      </c>
      <c r="C402" s="1485">
        <v>59504.54</v>
      </c>
      <c r="D402" s="1177">
        <v>71886</v>
      </c>
      <c r="E402" s="74"/>
      <c r="F402" s="74">
        <f t="shared" si="232"/>
        <v>93181.79999999999</v>
      </c>
      <c r="G402" s="308">
        <f t="shared" si="227"/>
        <v>-3518.0200000000023</v>
      </c>
      <c r="H402" s="1498">
        <v>402.45</v>
      </c>
      <c r="I402" s="315">
        <v>402.45</v>
      </c>
      <c r="J402" s="306">
        <f>G402+H402-I402+3920.47</f>
        <v>402.44999999999754</v>
      </c>
      <c r="K402" s="309">
        <f t="shared" si="233"/>
        <v>1194.5600000000013</v>
      </c>
      <c r="L402" s="89">
        <v>1175.67</v>
      </c>
      <c r="M402" s="1486">
        <v>833.61</v>
      </c>
      <c r="N402" s="302">
        <f t="shared" si="228"/>
        <v>1536.6200000000013</v>
      </c>
      <c r="O402" s="310">
        <f t="shared" si="229"/>
        <v>-44.099999999999625</v>
      </c>
      <c r="P402" s="1177">
        <v>197.45</v>
      </c>
      <c r="Q402" s="1165"/>
      <c r="R402" s="1490">
        <v>205.63</v>
      </c>
      <c r="S402" s="291">
        <f t="shared" si="230"/>
        <v>-52.27999999999963</v>
      </c>
      <c r="T402" s="316">
        <f t="shared" si="234"/>
        <v>205.63</v>
      </c>
      <c r="U402" s="317">
        <f t="shared" si="235"/>
        <v>833.61</v>
      </c>
      <c r="V402" s="317">
        <f t="shared" si="236"/>
        <v>402.45</v>
      </c>
      <c r="W402" s="1505">
        <f t="shared" si="237"/>
        <v>1441.69</v>
      </c>
      <c r="X402" s="828">
        <f t="shared" si="231"/>
        <v>361.76</v>
      </c>
      <c r="Y402" s="829">
        <f t="shared" si="231"/>
        <v>3527.01</v>
      </c>
      <c r="Z402" s="829">
        <f t="shared" si="231"/>
        <v>8707.230000000001</v>
      </c>
      <c r="AA402" s="822">
        <f t="shared" si="238"/>
        <v>12234.240000000002</v>
      </c>
      <c r="AB402" s="620">
        <f t="shared" si="239"/>
        <v>12234.240000000002</v>
      </c>
      <c r="AC402" s="830">
        <f t="shared" si="240"/>
        <v>61280.10999999999</v>
      </c>
      <c r="AD402" s="831">
        <f t="shared" si="241"/>
        <v>73327.69</v>
      </c>
      <c r="AE402" s="1543">
        <f t="shared" si="242"/>
        <v>72091.63</v>
      </c>
      <c r="AF402" s="11"/>
      <c r="AG402" s="833"/>
      <c r="AH402" s="833"/>
      <c r="AI402" s="11"/>
    </row>
    <row r="403" spans="1:35" ht="18.75">
      <c r="A403" s="73" t="s">
        <v>20</v>
      </c>
      <c r="B403" s="74">
        <f t="shared" si="226"/>
        <v>71994.75000000012</v>
      </c>
      <c r="C403" s="1485">
        <v>38671.41</v>
      </c>
      <c r="D403" s="1177">
        <v>45581.66</v>
      </c>
      <c r="E403" s="74"/>
      <c r="F403" s="74">
        <f t="shared" si="232"/>
        <v>65084.50000000012</v>
      </c>
      <c r="G403" s="308">
        <f t="shared" si="227"/>
        <v>0</v>
      </c>
      <c r="H403" s="1499"/>
      <c r="I403" s="315"/>
      <c r="J403" s="306">
        <f>G403+H403-I403</f>
        <v>0</v>
      </c>
      <c r="K403" s="309">
        <f t="shared" si="233"/>
        <v>1010.8699999999991</v>
      </c>
      <c r="L403" s="1493">
        <v>777.4</v>
      </c>
      <c r="M403" s="1486">
        <v>777.4</v>
      </c>
      <c r="N403" s="302">
        <f t="shared" si="228"/>
        <v>1010.8699999999991</v>
      </c>
      <c r="O403" s="310">
        <f t="shared" si="229"/>
        <v>114.31999999999992</v>
      </c>
      <c r="P403" s="1177">
        <v>20.42</v>
      </c>
      <c r="Q403" s="1165"/>
      <c r="R403" s="1490">
        <v>20.42</v>
      </c>
      <c r="S403" s="291">
        <f t="shared" si="230"/>
        <v>114.31999999999992</v>
      </c>
      <c r="T403" s="316">
        <f t="shared" si="234"/>
        <v>20.42</v>
      </c>
      <c r="U403" s="317">
        <f t="shared" si="235"/>
        <v>777.4</v>
      </c>
      <c r="V403" s="317">
        <f t="shared" si="236"/>
        <v>0</v>
      </c>
      <c r="W403" s="1505">
        <f t="shared" si="237"/>
        <v>797.8199999999999</v>
      </c>
      <c r="X403" s="828">
        <f t="shared" si="231"/>
        <v>166.61</v>
      </c>
      <c r="Y403" s="829">
        <f t="shared" si="231"/>
        <v>2332.2</v>
      </c>
      <c r="Z403" s="829">
        <f t="shared" si="231"/>
        <v>0</v>
      </c>
      <c r="AA403" s="822">
        <f t="shared" si="238"/>
        <v>2332.2</v>
      </c>
      <c r="AB403" s="620">
        <f t="shared" si="239"/>
        <v>2332.2</v>
      </c>
      <c r="AC403" s="830">
        <f t="shared" si="240"/>
        <v>39469.23</v>
      </c>
      <c r="AD403" s="831">
        <f t="shared" si="241"/>
        <v>46379.48</v>
      </c>
      <c r="AE403" s="1543">
        <f t="shared" si="242"/>
        <v>45602.08</v>
      </c>
      <c r="AF403" s="11"/>
      <c r="AG403" s="833"/>
      <c r="AH403" s="833"/>
      <c r="AI403" s="11"/>
    </row>
    <row r="404" spans="1:35" ht="18.75">
      <c r="A404" s="73" t="s">
        <v>114</v>
      </c>
      <c r="B404" s="74">
        <f t="shared" si="226"/>
        <v>-451439.12000000046</v>
      </c>
      <c r="C404" s="1485">
        <v>47606.78</v>
      </c>
      <c r="D404" s="1177">
        <v>47914.31</v>
      </c>
      <c r="E404" s="74"/>
      <c r="F404" s="74">
        <f t="shared" si="232"/>
        <v>-451746.65000000043</v>
      </c>
      <c r="G404" s="308">
        <f t="shared" si="227"/>
        <v>-6449.04</v>
      </c>
      <c r="H404" s="1498">
        <v>303.19</v>
      </c>
      <c r="I404" s="315">
        <v>303.19</v>
      </c>
      <c r="J404" s="306">
        <f>G404+H404-I404+6752.23</f>
        <v>303.1899999999996</v>
      </c>
      <c r="K404" s="309">
        <f t="shared" si="233"/>
        <v>0</v>
      </c>
      <c r="L404" s="1492">
        <v>789.96</v>
      </c>
      <c r="M404" s="1486">
        <v>1579.92</v>
      </c>
      <c r="N404" s="302">
        <f t="shared" si="228"/>
        <v>-789.96</v>
      </c>
      <c r="O404" s="310">
        <f t="shared" si="229"/>
        <v>-46.38</v>
      </c>
      <c r="P404" s="1177">
        <v>12.2</v>
      </c>
      <c r="Q404" s="1165"/>
      <c r="R404" s="1490">
        <v>12.27</v>
      </c>
      <c r="S404" s="291">
        <f t="shared" si="230"/>
        <v>-46.45</v>
      </c>
      <c r="T404" s="316">
        <f t="shared" si="234"/>
        <v>12.27</v>
      </c>
      <c r="U404" s="317">
        <f t="shared" si="235"/>
        <v>1579.92</v>
      </c>
      <c r="V404" s="317">
        <f t="shared" si="236"/>
        <v>303.19</v>
      </c>
      <c r="W404" s="1505">
        <f t="shared" si="237"/>
        <v>1895.38</v>
      </c>
      <c r="X404" s="828">
        <f t="shared" si="231"/>
        <v>182.73</v>
      </c>
      <c r="Y404" s="829">
        <f t="shared" si="231"/>
        <v>3159.84</v>
      </c>
      <c r="Z404" s="829">
        <f t="shared" si="231"/>
        <v>6559.609999999999</v>
      </c>
      <c r="AA404" s="822">
        <f t="shared" si="238"/>
        <v>9719.449999999999</v>
      </c>
      <c r="AB404" s="620">
        <f t="shared" si="239"/>
        <v>9719.449999999999</v>
      </c>
      <c r="AC404" s="830">
        <f t="shared" si="240"/>
        <v>48712.13</v>
      </c>
      <c r="AD404" s="831">
        <f t="shared" si="241"/>
        <v>49809.689999999995</v>
      </c>
      <c r="AE404" s="1543">
        <f t="shared" si="242"/>
        <v>47926.579999999994</v>
      </c>
      <c r="AF404" s="11"/>
      <c r="AG404" s="833"/>
      <c r="AH404" s="833"/>
      <c r="AI404" s="11"/>
    </row>
    <row r="405" spans="1:35" ht="18.75">
      <c r="A405" s="73" t="s">
        <v>115</v>
      </c>
      <c r="B405" s="74">
        <f t="shared" si="226"/>
        <v>20260.769999999928</v>
      </c>
      <c r="C405" s="1485">
        <v>16815.18</v>
      </c>
      <c r="D405" s="1177">
        <v>24295.6</v>
      </c>
      <c r="E405" s="74"/>
      <c r="F405" s="74">
        <f t="shared" si="232"/>
        <v>12780.349999999926</v>
      </c>
      <c r="G405" s="308">
        <f t="shared" si="227"/>
        <v>0</v>
      </c>
      <c r="H405" s="1500"/>
      <c r="I405" s="315"/>
      <c r="J405" s="306">
        <f>G405+H405-I405</f>
        <v>0</v>
      </c>
      <c r="K405" s="309">
        <f t="shared" si="233"/>
        <v>0</v>
      </c>
      <c r="L405" s="1494"/>
      <c r="M405" s="1486"/>
      <c r="N405" s="302">
        <f t="shared" si="228"/>
        <v>0</v>
      </c>
      <c r="O405" s="310">
        <f t="shared" si="229"/>
        <v>-9.270000000000016</v>
      </c>
      <c r="P405" s="1177">
        <v>43.69</v>
      </c>
      <c r="Q405" s="1165"/>
      <c r="R405" s="1490">
        <v>90.87</v>
      </c>
      <c r="S405" s="291">
        <f t="shared" si="230"/>
        <v>-56.450000000000024</v>
      </c>
      <c r="T405" s="316">
        <f t="shared" si="234"/>
        <v>90.87</v>
      </c>
      <c r="U405" s="317">
        <f t="shared" si="235"/>
        <v>0</v>
      </c>
      <c r="V405" s="317">
        <f t="shared" si="236"/>
        <v>0</v>
      </c>
      <c r="W405" s="1505">
        <f t="shared" si="237"/>
        <v>90.87</v>
      </c>
      <c r="X405" s="828">
        <f t="shared" si="231"/>
        <v>128.14</v>
      </c>
      <c r="Y405" s="829">
        <f t="shared" si="231"/>
        <v>0</v>
      </c>
      <c r="Z405" s="829">
        <f t="shared" si="231"/>
        <v>0</v>
      </c>
      <c r="AA405" s="822">
        <f t="shared" si="238"/>
        <v>0</v>
      </c>
      <c r="AB405" s="620">
        <f t="shared" si="239"/>
        <v>0</v>
      </c>
      <c r="AC405" s="830">
        <f t="shared" si="240"/>
        <v>16858.87</v>
      </c>
      <c r="AD405" s="831">
        <f t="shared" si="241"/>
        <v>24386.469999999998</v>
      </c>
      <c r="AE405" s="1543">
        <f t="shared" si="242"/>
        <v>24386.469999999998</v>
      </c>
      <c r="AF405" s="11"/>
      <c r="AG405" s="833"/>
      <c r="AH405" s="833"/>
      <c r="AI405" s="11"/>
    </row>
    <row r="406" spans="1:35" ht="18.75">
      <c r="A406" s="708" t="s">
        <v>188</v>
      </c>
      <c r="B406" s="74">
        <f t="shared" si="226"/>
        <v>19406.86999999996</v>
      </c>
      <c r="C406" s="1485">
        <v>44632.88</v>
      </c>
      <c r="D406" s="1178">
        <v>48431.95</v>
      </c>
      <c r="E406" s="74"/>
      <c r="F406" s="74">
        <f t="shared" si="232"/>
        <v>15607.79999999996</v>
      </c>
      <c r="G406" s="308">
        <f t="shared" si="227"/>
        <v>-5759.510000000001</v>
      </c>
      <c r="H406" s="1501">
        <v>382.12</v>
      </c>
      <c r="I406" s="258">
        <v>382.12</v>
      </c>
      <c r="J406" s="306">
        <f>G406+H406-I406+6141.63</f>
        <v>382.119999999999</v>
      </c>
      <c r="K406" s="309">
        <f t="shared" si="233"/>
        <v>-56441.47</v>
      </c>
      <c r="L406" s="1494">
        <v>2463.16</v>
      </c>
      <c r="M406" s="1487">
        <v>3768</v>
      </c>
      <c r="N406" s="302">
        <f t="shared" si="228"/>
        <v>-57746.31</v>
      </c>
      <c r="O406" s="310">
        <f t="shared" si="229"/>
        <v>-4846.25</v>
      </c>
      <c r="P406" s="1177">
        <v>133.25</v>
      </c>
      <c r="Q406" s="1163"/>
      <c r="R406" s="1491">
        <v>135.73</v>
      </c>
      <c r="S406" s="291">
        <f t="shared" si="230"/>
        <v>-4848.73</v>
      </c>
      <c r="T406" s="316">
        <f t="shared" si="234"/>
        <v>135.73</v>
      </c>
      <c r="U406" s="317">
        <f t="shared" si="235"/>
        <v>3768</v>
      </c>
      <c r="V406" s="317">
        <f t="shared" si="236"/>
        <v>382.12</v>
      </c>
      <c r="W406" s="1505">
        <f t="shared" si="237"/>
        <v>4285.85</v>
      </c>
      <c r="X406" s="828">
        <f t="shared" si="231"/>
        <v>233.01</v>
      </c>
      <c r="Y406" s="829">
        <f t="shared" si="231"/>
        <v>8694.32</v>
      </c>
      <c r="Z406" s="829">
        <f t="shared" si="231"/>
        <v>8267.36</v>
      </c>
      <c r="AA406" s="822">
        <f t="shared" si="238"/>
        <v>16961.68</v>
      </c>
      <c r="AB406" s="620">
        <f t="shared" si="239"/>
        <v>16961.68</v>
      </c>
      <c r="AC406" s="830">
        <f t="shared" si="240"/>
        <v>47611.41</v>
      </c>
      <c r="AD406" s="831">
        <f t="shared" si="241"/>
        <v>52717.8</v>
      </c>
      <c r="AE406" s="1543">
        <f t="shared" si="242"/>
        <v>48567.68</v>
      </c>
      <c r="AF406" s="11"/>
      <c r="AG406" s="833"/>
      <c r="AH406" s="833"/>
      <c r="AI406" s="11"/>
    </row>
    <row r="407" spans="1:35" ht="18.75">
      <c r="A407" s="709" t="s">
        <v>189</v>
      </c>
      <c r="B407" s="74">
        <f t="shared" si="226"/>
        <v>68663.62000000008</v>
      </c>
      <c r="C407" s="1485">
        <v>51798.79</v>
      </c>
      <c r="D407" s="1178">
        <v>71400.34</v>
      </c>
      <c r="E407" s="74"/>
      <c r="F407" s="74">
        <f t="shared" si="232"/>
        <v>49062.070000000094</v>
      </c>
      <c r="G407" s="308">
        <f t="shared" si="227"/>
        <v>-34577.2</v>
      </c>
      <c r="H407" s="1501">
        <v>2127.68</v>
      </c>
      <c r="I407" s="258">
        <v>2127.68</v>
      </c>
      <c r="J407" s="306">
        <f>G407+H407-I407+36704.88</f>
        <v>2127.6800000000003</v>
      </c>
      <c r="K407" s="309">
        <f t="shared" si="233"/>
        <v>-16178.7</v>
      </c>
      <c r="L407" s="1494">
        <v>3155.64</v>
      </c>
      <c r="M407" s="1488">
        <v>3155.64</v>
      </c>
      <c r="N407" s="302">
        <f t="shared" si="228"/>
        <v>-16178.7</v>
      </c>
      <c r="O407" s="310">
        <f t="shared" si="229"/>
        <v>-48930.20999999998</v>
      </c>
      <c r="P407" s="1177">
        <v>554.72</v>
      </c>
      <c r="Q407" s="1163"/>
      <c r="R407" s="1491">
        <f>563.25+2438.94</f>
        <v>3002.19</v>
      </c>
      <c r="S407" s="291">
        <f t="shared" si="230"/>
        <v>-51377.67999999998</v>
      </c>
      <c r="T407" s="316">
        <f t="shared" si="234"/>
        <v>3002.19</v>
      </c>
      <c r="U407" s="317">
        <f t="shared" si="235"/>
        <v>3155.64</v>
      </c>
      <c r="V407" s="317">
        <f t="shared" si="236"/>
        <v>2127.68</v>
      </c>
      <c r="W407" s="1505">
        <f t="shared" si="237"/>
        <v>8285.51</v>
      </c>
      <c r="X407" s="828">
        <f t="shared" si="231"/>
        <v>3213.61</v>
      </c>
      <c r="Y407" s="829">
        <f t="shared" si="231"/>
        <v>7102.42</v>
      </c>
      <c r="Z407" s="829">
        <f t="shared" si="231"/>
        <v>48799.96</v>
      </c>
      <c r="AA407" s="822">
        <f t="shared" si="238"/>
        <v>55902.38</v>
      </c>
      <c r="AB407" s="620">
        <f t="shared" si="239"/>
        <v>55902.38</v>
      </c>
      <c r="AC407" s="830">
        <f t="shared" si="240"/>
        <v>57636.83</v>
      </c>
      <c r="AD407" s="831">
        <f t="shared" si="241"/>
        <v>79685.84999999999</v>
      </c>
      <c r="AE407" s="1543">
        <f t="shared" si="242"/>
        <v>74402.53</v>
      </c>
      <c r="AF407" s="11"/>
      <c r="AG407" s="833"/>
      <c r="AH407" s="833"/>
      <c r="AI407" s="11"/>
    </row>
    <row r="408" spans="1:35" ht="18.75">
      <c r="A408" s="709" t="s">
        <v>218</v>
      </c>
      <c r="B408" s="74">
        <f t="shared" si="226"/>
        <v>113554.39000000004</v>
      </c>
      <c r="C408" s="1485">
        <v>47756.29</v>
      </c>
      <c r="D408" s="1178">
        <v>53421.22</v>
      </c>
      <c r="E408" s="74"/>
      <c r="F408" s="74">
        <f t="shared" si="232"/>
        <v>107889.46000000005</v>
      </c>
      <c r="G408" s="308">
        <f t="shared" si="227"/>
        <v>0</v>
      </c>
      <c r="H408" s="1502"/>
      <c r="I408" s="258"/>
      <c r="J408" s="306">
        <f>G408+H408-I408</f>
        <v>0</v>
      </c>
      <c r="K408" s="309">
        <f t="shared" si="233"/>
        <v>-62945.81</v>
      </c>
      <c r="L408" s="1494"/>
      <c r="M408" s="1488"/>
      <c r="N408" s="302">
        <f t="shared" si="228"/>
        <v>-62945.81</v>
      </c>
      <c r="O408" s="310">
        <f t="shared" si="229"/>
        <v>-60564.950000000004</v>
      </c>
      <c r="P408" s="1177">
        <v>78.26</v>
      </c>
      <c r="Q408" s="1163"/>
      <c r="R408" s="1491">
        <v>40.25</v>
      </c>
      <c r="S408" s="291">
        <f t="shared" si="230"/>
        <v>-60526.94</v>
      </c>
      <c r="T408" s="316">
        <f t="shared" si="234"/>
        <v>40.25</v>
      </c>
      <c r="U408" s="317">
        <f t="shared" si="235"/>
        <v>0</v>
      </c>
      <c r="V408" s="317">
        <f t="shared" si="236"/>
        <v>0</v>
      </c>
      <c r="W408" s="1505">
        <f t="shared" si="237"/>
        <v>40.25</v>
      </c>
      <c r="X408" s="828">
        <f t="shared" si="231"/>
        <v>193.38</v>
      </c>
      <c r="Y408" s="829">
        <f t="shared" si="231"/>
        <v>2174.33</v>
      </c>
      <c r="Z408" s="829">
        <f t="shared" si="231"/>
        <v>0</v>
      </c>
      <c r="AA408" s="822">
        <f t="shared" si="238"/>
        <v>2174.33</v>
      </c>
      <c r="AB408" s="620">
        <f>Y408+Z408</f>
        <v>2174.33</v>
      </c>
      <c r="AC408" s="830">
        <f t="shared" si="240"/>
        <v>47834.55</v>
      </c>
      <c r="AD408" s="831">
        <f t="shared" si="241"/>
        <v>53461.47</v>
      </c>
      <c r="AE408" s="1543">
        <f t="shared" si="242"/>
        <v>53461.47</v>
      </c>
      <c r="AF408" s="550"/>
      <c r="AG408" s="878"/>
      <c r="AH408" s="878"/>
      <c r="AI408" s="550"/>
    </row>
    <row r="409" spans="1:35" ht="18.75">
      <c r="A409" s="709" t="s">
        <v>238</v>
      </c>
      <c r="B409" s="74">
        <f t="shared" si="226"/>
        <v>29333.14000000001</v>
      </c>
      <c r="C409" s="1485">
        <v>17768.29</v>
      </c>
      <c r="D409" s="1178">
        <v>17159.63</v>
      </c>
      <c r="E409" s="74"/>
      <c r="F409" s="74">
        <f t="shared" si="232"/>
        <v>29941.800000000007</v>
      </c>
      <c r="G409" s="308">
        <f t="shared" si="227"/>
        <v>0</v>
      </c>
      <c r="H409" s="1502"/>
      <c r="I409" s="258"/>
      <c r="J409" s="306">
        <f>G409+H409-I409</f>
        <v>0</v>
      </c>
      <c r="K409" s="309">
        <f t="shared" si="233"/>
        <v>0</v>
      </c>
      <c r="L409" s="1494"/>
      <c r="M409" s="1488"/>
      <c r="N409" s="302">
        <f t="shared" si="228"/>
        <v>0</v>
      </c>
      <c r="O409" s="310">
        <f t="shared" si="229"/>
        <v>-3718.15</v>
      </c>
      <c r="P409" s="1177">
        <v>18.47</v>
      </c>
      <c r="Q409" s="1163"/>
      <c r="R409" s="1491">
        <v>18.47</v>
      </c>
      <c r="S409" s="291">
        <f t="shared" si="230"/>
        <v>-3718.15</v>
      </c>
      <c r="T409" s="316">
        <f t="shared" si="234"/>
        <v>18.47</v>
      </c>
      <c r="U409" s="317">
        <f t="shared" si="235"/>
        <v>0</v>
      </c>
      <c r="V409" s="317">
        <f t="shared" si="236"/>
        <v>0</v>
      </c>
      <c r="W409" s="1505">
        <f t="shared" si="237"/>
        <v>18.47</v>
      </c>
      <c r="X409" s="828">
        <f t="shared" si="231"/>
        <v>108.9</v>
      </c>
      <c r="Y409" s="829">
        <f t="shared" si="231"/>
        <v>0</v>
      </c>
      <c r="Z409" s="829">
        <f t="shared" si="231"/>
        <v>0</v>
      </c>
      <c r="AA409" s="822">
        <f t="shared" si="238"/>
        <v>0</v>
      </c>
      <c r="AB409" s="620">
        <f t="shared" si="239"/>
        <v>0</v>
      </c>
      <c r="AC409" s="830">
        <f t="shared" si="240"/>
        <v>17786.760000000002</v>
      </c>
      <c r="AD409" s="831">
        <f t="shared" si="241"/>
        <v>17178.100000000002</v>
      </c>
      <c r="AE409" s="1543">
        <f t="shared" si="242"/>
        <v>17178.100000000002</v>
      </c>
      <c r="AF409" s="550"/>
      <c r="AG409" s="878"/>
      <c r="AH409" s="878"/>
      <c r="AI409" s="550"/>
    </row>
    <row r="410" spans="1:35" ht="18.75">
      <c r="A410" s="709" t="s">
        <v>304</v>
      </c>
      <c r="B410" s="74">
        <f t="shared" si="226"/>
        <v>285915.0099999998</v>
      </c>
      <c r="C410" s="1485">
        <v>62851.63</v>
      </c>
      <c r="D410" s="1178">
        <v>76670.7</v>
      </c>
      <c r="E410" s="74"/>
      <c r="F410" s="74">
        <f t="shared" si="232"/>
        <v>272095.93999999977</v>
      </c>
      <c r="G410" s="308">
        <f t="shared" si="227"/>
        <v>0</v>
      </c>
      <c r="H410" s="1502"/>
      <c r="I410" s="258"/>
      <c r="J410" s="306">
        <f>G410+H410-I410</f>
        <v>0</v>
      </c>
      <c r="K410" s="309">
        <f t="shared" si="233"/>
        <v>0</v>
      </c>
      <c r="L410" s="1495">
        <v>1889.09</v>
      </c>
      <c r="M410" s="1488">
        <v>1889.09</v>
      </c>
      <c r="N410" s="302">
        <f t="shared" si="228"/>
        <v>0</v>
      </c>
      <c r="O410" s="310">
        <f t="shared" si="229"/>
        <v>-7323.1500000000015</v>
      </c>
      <c r="P410" s="1177">
        <v>42.26</v>
      </c>
      <c r="Q410" s="1163"/>
      <c r="R410" s="1491">
        <f>48.26+2204.82</f>
        <v>2253.0800000000004</v>
      </c>
      <c r="S410" s="291">
        <f t="shared" si="230"/>
        <v>-9533.970000000001</v>
      </c>
      <c r="T410" s="316">
        <f t="shared" si="234"/>
        <v>2253.0800000000004</v>
      </c>
      <c r="U410" s="317">
        <f t="shared" si="235"/>
        <v>1889.09</v>
      </c>
      <c r="V410" s="317">
        <f t="shared" si="236"/>
        <v>0</v>
      </c>
      <c r="W410" s="1505">
        <f t="shared" si="237"/>
        <v>4142.17</v>
      </c>
      <c r="X410" s="828">
        <f t="shared" si="231"/>
        <v>4904.06</v>
      </c>
      <c r="Y410" s="829">
        <f t="shared" si="231"/>
        <v>5667.2699999999995</v>
      </c>
      <c r="Z410" s="829">
        <f t="shared" si="231"/>
        <v>0</v>
      </c>
      <c r="AA410" s="822">
        <f t="shared" si="238"/>
        <v>5667.2699999999995</v>
      </c>
      <c r="AB410" s="620">
        <f t="shared" si="239"/>
        <v>5667.2699999999995</v>
      </c>
      <c r="AC410" s="830">
        <f t="shared" si="240"/>
        <v>64782.979999999996</v>
      </c>
      <c r="AD410" s="831">
        <f t="shared" si="241"/>
        <v>80812.87</v>
      </c>
      <c r="AE410" s="1543">
        <f t="shared" si="242"/>
        <v>78923.78</v>
      </c>
      <c r="AF410" s="550"/>
      <c r="AG410" s="878"/>
      <c r="AH410" s="878"/>
      <c r="AI410" s="550"/>
    </row>
    <row r="411" spans="1:35" ht="19.5" thickBot="1">
      <c r="A411" s="709" t="s">
        <v>317</v>
      </c>
      <c r="B411" s="74">
        <f t="shared" si="226"/>
        <v>198957.9199999999</v>
      </c>
      <c r="C411" s="1485">
        <v>63992.51</v>
      </c>
      <c r="D411" s="1178">
        <v>78232.54</v>
      </c>
      <c r="E411" s="74"/>
      <c r="F411" s="74">
        <f t="shared" si="232"/>
        <v>184717.8899999999</v>
      </c>
      <c r="G411" s="308">
        <f t="shared" si="227"/>
        <v>0</v>
      </c>
      <c r="H411" s="1503"/>
      <c r="I411" s="258"/>
      <c r="J411" s="306">
        <f>G411+H411-I411</f>
        <v>0</v>
      </c>
      <c r="K411" s="309">
        <f t="shared" si="233"/>
        <v>1109.8900000000012</v>
      </c>
      <c r="L411" s="89">
        <v>6247.31</v>
      </c>
      <c r="M411" s="1488">
        <v>7074.94</v>
      </c>
      <c r="N411" s="302">
        <f t="shared" si="228"/>
        <v>282.26000000000204</v>
      </c>
      <c r="O411" s="310">
        <f t="shared" si="229"/>
        <v>-18715.399999999998</v>
      </c>
      <c r="P411" s="1177">
        <v>686.36</v>
      </c>
      <c r="Q411" s="1163"/>
      <c r="R411" s="1491">
        <f>793.8+1235.92</f>
        <v>2029.72</v>
      </c>
      <c r="S411" s="291">
        <f t="shared" si="230"/>
        <v>-20058.76</v>
      </c>
      <c r="T411" s="316">
        <f t="shared" si="234"/>
        <v>2029.72</v>
      </c>
      <c r="U411" s="317">
        <f t="shared" si="235"/>
        <v>7074.94</v>
      </c>
      <c r="V411" s="317">
        <f t="shared" si="236"/>
        <v>0</v>
      </c>
      <c r="W411" s="1505">
        <f t="shared" si="237"/>
        <v>9104.66</v>
      </c>
      <c r="X411" s="1180">
        <f t="shared" si="231"/>
        <v>10865.24</v>
      </c>
      <c r="Y411" s="829">
        <f t="shared" si="231"/>
        <v>19851.82</v>
      </c>
      <c r="Z411" s="1181">
        <f t="shared" si="231"/>
        <v>0</v>
      </c>
      <c r="AA411" s="822">
        <f t="shared" si="238"/>
        <v>19851.82</v>
      </c>
      <c r="AB411" s="620">
        <f t="shared" si="239"/>
        <v>19851.82</v>
      </c>
      <c r="AC411" s="830">
        <f t="shared" si="240"/>
        <v>70926.18000000001</v>
      </c>
      <c r="AD411" s="831">
        <f t="shared" si="241"/>
        <v>87337.2</v>
      </c>
      <c r="AE411" s="1543">
        <f t="shared" si="242"/>
        <v>80262.26</v>
      </c>
      <c r="AF411" s="550"/>
      <c r="AG411" s="878"/>
      <c r="AH411" s="878"/>
      <c r="AI411" s="550"/>
    </row>
    <row r="412" spans="1:35" ht="19.5" thickBot="1">
      <c r="A412" s="1373" t="s">
        <v>21</v>
      </c>
      <c r="B412" s="389">
        <f>SUM(B385:B411)</f>
        <v>2260177.470000002</v>
      </c>
      <c r="C412" s="389">
        <f>SUM(C385:C411)</f>
        <v>1072637.9600000004</v>
      </c>
      <c r="D412" s="389">
        <f>SUM(D385:D411)</f>
        <v>1228570.2399999998</v>
      </c>
      <c r="E412" s="389"/>
      <c r="F412" s="389">
        <f aca="true" t="shared" si="243" ref="F412:P412">SUM(F385:F411)</f>
        <v>2104245.190000002</v>
      </c>
      <c r="G412" s="1374">
        <f t="shared" si="243"/>
        <v>-120041.18000000004</v>
      </c>
      <c r="H412" s="1367">
        <f t="shared" si="243"/>
        <v>10373.919999999998</v>
      </c>
      <c r="I412" s="1375">
        <f t="shared" si="243"/>
        <v>11378.51</v>
      </c>
      <c r="J412" s="1366">
        <f>SUM(J385:J411)</f>
        <v>9369.32999999995</v>
      </c>
      <c r="K412" s="1376">
        <f t="shared" si="243"/>
        <v>-163402.36999999997</v>
      </c>
      <c r="L412" s="1362">
        <f t="shared" si="243"/>
        <v>38654.02</v>
      </c>
      <c r="M412" s="1377">
        <f t="shared" si="243"/>
        <v>51841.69</v>
      </c>
      <c r="N412" s="1384">
        <f t="shared" si="243"/>
        <v>-176590.03999999998</v>
      </c>
      <c r="O412" s="1378">
        <f t="shared" si="243"/>
        <v>-147531.56999999998</v>
      </c>
      <c r="P412" s="1375">
        <f t="shared" si="243"/>
        <v>3778.63</v>
      </c>
      <c r="Q412" s="1379"/>
      <c r="R412" s="1375">
        <f>SUM(R385:R411)</f>
        <v>9941.75</v>
      </c>
      <c r="S412" s="1385">
        <f t="shared" si="230"/>
        <v>-153694.68999999997</v>
      </c>
      <c r="T412" s="1370">
        <f aca="true" t="shared" si="244" ref="T412:AE412">SUM(T385:T411)</f>
        <v>9941.75</v>
      </c>
      <c r="U412" s="1370">
        <f t="shared" si="244"/>
        <v>51841.69</v>
      </c>
      <c r="V412" s="1370">
        <f t="shared" si="244"/>
        <v>11378.51</v>
      </c>
      <c r="W412" s="1380">
        <f t="shared" si="244"/>
        <v>73161.95</v>
      </c>
      <c r="X412" s="1381">
        <f t="shared" si="244"/>
        <v>25005.68</v>
      </c>
      <c r="Y412" s="1381">
        <f t="shared" si="244"/>
        <v>189467</v>
      </c>
      <c r="Z412" s="1382">
        <f t="shared" si="244"/>
        <v>230218.41</v>
      </c>
      <c r="AA412" s="1382">
        <f t="shared" si="244"/>
        <v>419685.4100000001</v>
      </c>
      <c r="AB412" s="1383">
        <f t="shared" si="244"/>
        <v>419685.4100000001</v>
      </c>
      <c r="AC412" s="1372">
        <f t="shared" si="244"/>
        <v>1125444.53</v>
      </c>
      <c r="AD412" s="1359">
        <f t="shared" si="244"/>
        <v>1301732.1900000002</v>
      </c>
      <c r="AE412" s="1372">
        <f t="shared" si="244"/>
        <v>1238511.99</v>
      </c>
      <c r="AF412" s="550"/>
      <c r="AG412" s="550"/>
      <c r="AH412" s="550"/>
      <c r="AI412" s="550"/>
    </row>
    <row r="413" spans="4:35" ht="18.75">
      <c r="D413" s="1194"/>
      <c r="E413" s="1194"/>
      <c r="F413" s="1194"/>
      <c r="G413" s="1194"/>
      <c r="H413" s="1194"/>
      <c r="I413" s="1194"/>
      <c r="J413" s="1194"/>
      <c r="K413" s="1194"/>
      <c r="L413" s="1194"/>
      <c r="M413" s="1194"/>
      <c r="N413" s="1194"/>
      <c r="O413" s="1194"/>
      <c r="P413" s="1194"/>
      <c r="Q413" s="1194"/>
      <c r="R413" s="820"/>
      <c r="T413" s="821"/>
      <c r="W413" s="1179"/>
      <c r="AF413" s="550"/>
      <c r="AG413" s="550"/>
      <c r="AH413" s="550"/>
      <c r="AI413" s="550"/>
    </row>
    <row r="414" spans="23:35" ht="15">
      <c r="W414" s="2"/>
      <c r="AF414" s="11"/>
      <c r="AG414" s="11"/>
      <c r="AH414" s="11"/>
      <c r="AI414" s="11"/>
    </row>
    <row r="415" spans="23:35" ht="15">
      <c r="W415" t="s">
        <v>487</v>
      </c>
      <c r="AF415" s="11"/>
      <c r="AG415" s="833">
        <f>Y252+Y284+AD316+Y349+Y380+AD412</f>
        <v>7335193.24</v>
      </c>
      <c r="AH415" s="11"/>
      <c r="AI415" s="11"/>
    </row>
    <row r="417" ht="15" customHeight="1"/>
    <row r="442" ht="18" customHeight="1"/>
  </sheetData>
  <sheetProtection/>
  <mergeCells count="84">
    <mergeCell ref="X383:AA383"/>
    <mergeCell ref="AG383:AH383"/>
    <mergeCell ref="B383:B384"/>
    <mergeCell ref="C383:F383"/>
    <mergeCell ref="H383:J383"/>
    <mergeCell ref="L383:N383"/>
    <mergeCell ref="P383:S383"/>
    <mergeCell ref="T383:W383"/>
    <mergeCell ref="AB350:AD350"/>
    <mergeCell ref="B351:B352"/>
    <mergeCell ref="C351:F351"/>
    <mergeCell ref="H351:J351"/>
    <mergeCell ref="L351:N351"/>
    <mergeCell ref="P351:S351"/>
    <mergeCell ref="T351:W351"/>
    <mergeCell ref="AB351:AC351"/>
    <mergeCell ref="X287:Z287"/>
    <mergeCell ref="B320:B321"/>
    <mergeCell ref="C320:F320"/>
    <mergeCell ref="H320:J320"/>
    <mergeCell ref="L320:N320"/>
    <mergeCell ref="P320:S320"/>
    <mergeCell ref="T320:W320"/>
    <mergeCell ref="B287:B288"/>
    <mergeCell ref="C287:F287"/>
    <mergeCell ref="H287:J287"/>
    <mergeCell ref="L287:N287"/>
    <mergeCell ref="P287:S287"/>
    <mergeCell ref="T287:W287"/>
    <mergeCell ref="AB254:AD254"/>
    <mergeCell ref="B255:B256"/>
    <mergeCell ref="C255:F255"/>
    <mergeCell ref="H255:J255"/>
    <mergeCell ref="L255:N255"/>
    <mergeCell ref="P255:S255"/>
    <mergeCell ref="T255:W255"/>
    <mergeCell ref="AB255:AD255"/>
    <mergeCell ref="C223:F223"/>
    <mergeCell ref="H223:J223"/>
    <mergeCell ref="L223:N223"/>
    <mergeCell ref="P223:S223"/>
    <mergeCell ref="T223:W223"/>
    <mergeCell ref="T160:W160"/>
    <mergeCell ref="AB161:AD161"/>
    <mergeCell ref="C191:F191"/>
    <mergeCell ref="H191:J191"/>
    <mergeCell ref="L191:N191"/>
    <mergeCell ref="T191:W191"/>
    <mergeCell ref="P191:S191"/>
    <mergeCell ref="Y191:AA191"/>
    <mergeCell ref="B129:B130"/>
    <mergeCell ref="C129:F129"/>
    <mergeCell ref="G129:I129"/>
    <mergeCell ref="K129:M129"/>
    <mergeCell ref="P129:S129"/>
    <mergeCell ref="B160:B161"/>
    <mergeCell ref="C160:F160"/>
    <mergeCell ref="H160:J160"/>
    <mergeCell ref="L160:N160"/>
    <mergeCell ref="P160:S160"/>
    <mergeCell ref="B98:B99"/>
    <mergeCell ref="C98:F98"/>
    <mergeCell ref="G98:I98"/>
    <mergeCell ref="K98:M98"/>
    <mergeCell ref="P98:S98"/>
    <mergeCell ref="X98:AA98"/>
    <mergeCell ref="B67:B68"/>
    <mergeCell ref="C67:F67"/>
    <mergeCell ref="K67:M67"/>
    <mergeCell ref="P67:S67"/>
    <mergeCell ref="AC68:AE68"/>
    <mergeCell ref="G67:J67"/>
    <mergeCell ref="B36:B37"/>
    <mergeCell ref="C36:F36"/>
    <mergeCell ref="H36:J36"/>
    <mergeCell ref="L36:N36"/>
    <mergeCell ref="P36:S36"/>
    <mergeCell ref="U4:V4"/>
    <mergeCell ref="A4:A5"/>
    <mergeCell ref="B4:B5"/>
    <mergeCell ref="C4:F4"/>
    <mergeCell ref="H4:J4"/>
    <mergeCell ref="L4:N4"/>
    <mergeCell ref="P4:S4"/>
  </mergeCells>
  <printOptions/>
  <pageMargins left="0.11811023622047245" right="0.11811023622047245" top="0" bottom="0" header="0" footer="0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zoomScale="63" zoomScaleNormal="63" zoomScalePageLayoutView="0" workbookViewId="0" topLeftCell="A110">
      <pane xSplit="1" topLeftCell="B1" activePane="topRight" state="frozen"/>
      <selection pane="topLeft" activeCell="A1" sqref="A1"/>
      <selection pane="topRight" activeCell="G116" sqref="G116"/>
    </sheetView>
  </sheetViews>
  <sheetFormatPr defaultColWidth="9.140625" defaultRowHeight="15"/>
  <cols>
    <col min="1" max="1" width="28.57421875" style="0" customWidth="1"/>
    <col min="2" max="2" width="21.140625" style="0" customWidth="1"/>
    <col min="3" max="3" width="22.8515625" style="0" customWidth="1"/>
    <col min="4" max="4" width="25.7109375" style="0" customWidth="1"/>
    <col min="5" max="5" width="23.57421875" style="0" customWidth="1"/>
    <col min="6" max="6" width="21.57421875" style="0" customWidth="1"/>
    <col min="7" max="7" width="22.57421875" style="0" customWidth="1"/>
    <col min="8" max="8" width="23.7109375" style="0" customWidth="1"/>
    <col min="9" max="9" width="12.00390625" style="0" customWidth="1"/>
    <col min="10" max="10" width="12.57421875" style="0" customWidth="1"/>
    <col min="11" max="11" width="12.00390625" style="0" customWidth="1"/>
    <col min="12" max="12" width="11.57421875" style="0" customWidth="1"/>
    <col min="13" max="13" width="10.28125" style="0" customWidth="1"/>
    <col min="14" max="14" width="10.8515625" style="0" customWidth="1"/>
    <col min="15" max="15" width="11.421875" style="0" customWidth="1"/>
    <col min="16" max="16" width="12.140625" style="0" customWidth="1"/>
    <col min="17" max="17" width="13.7109375" style="0" customWidth="1"/>
    <col min="18" max="18" width="15.421875" style="0" customWidth="1"/>
    <col min="19" max="19" width="18.421875" style="0" customWidth="1"/>
    <col min="20" max="20" width="17.7109375" style="0" customWidth="1"/>
    <col min="21" max="21" width="15.421875" style="0" customWidth="1"/>
    <col min="22" max="22" width="14.00390625" style="0" customWidth="1"/>
    <col min="23" max="23" width="13.28125" style="0" customWidth="1"/>
    <col min="24" max="24" width="13.421875" style="0" customWidth="1"/>
    <col min="25" max="25" width="14.140625" style="0" customWidth="1"/>
  </cols>
  <sheetData>
    <row r="1" spans="1:10" ht="32.25" customHeight="1" thickBot="1">
      <c r="A1" s="1546" t="s">
        <v>91</v>
      </c>
      <c r="B1" s="1546"/>
      <c r="C1" s="1546"/>
      <c r="D1" s="1546"/>
      <c r="E1" s="1546"/>
      <c r="F1" s="1546"/>
      <c r="G1" s="1546"/>
      <c r="I1" s="1564" t="s">
        <v>417</v>
      </c>
      <c r="J1" s="1565"/>
    </row>
    <row r="2" spans="1:10" ht="15" customHeight="1">
      <c r="A2" s="1547" t="s">
        <v>1</v>
      </c>
      <c r="B2" s="1556" t="s">
        <v>414</v>
      </c>
      <c r="C2" s="1551" t="s">
        <v>415</v>
      </c>
      <c r="D2" s="1553" t="s">
        <v>416</v>
      </c>
      <c r="E2" s="1555" t="s">
        <v>148</v>
      </c>
      <c r="F2" s="1566"/>
      <c r="G2" s="1558"/>
      <c r="H2" s="1559"/>
      <c r="I2" s="1560"/>
      <c r="J2" s="1560"/>
    </row>
    <row r="3" spans="1:10" ht="124.5" customHeight="1" thickBot="1">
      <c r="A3" s="1548"/>
      <c r="B3" s="1561"/>
      <c r="C3" s="1552"/>
      <c r="D3" s="1554"/>
      <c r="E3" s="1555"/>
      <c r="F3" s="1566"/>
      <c r="G3" s="1558"/>
      <c r="H3" s="1559"/>
      <c r="I3" s="1560"/>
      <c r="J3" s="1560"/>
    </row>
    <row r="4" spans="1:10" ht="24.75" customHeight="1">
      <c r="A4" s="551" t="s">
        <v>47</v>
      </c>
      <c r="B4" s="570">
        <v>17087.2</v>
      </c>
      <c r="C4" s="569">
        <f>'пеня 2023'!AA38</f>
        <v>10897.8</v>
      </c>
      <c r="D4" s="552">
        <f>'пеня 2023'!Z69</f>
        <v>15253.69</v>
      </c>
      <c r="E4" s="553">
        <f>B4+C4+D4</f>
        <v>43238.69</v>
      </c>
      <c r="F4" s="554"/>
      <c r="G4" s="555"/>
      <c r="H4" s="548"/>
      <c r="I4" s="1544"/>
      <c r="J4" s="1544"/>
    </row>
    <row r="5" spans="1:10" ht="27.75" customHeight="1">
      <c r="A5" s="556" t="s">
        <v>53</v>
      </c>
      <c r="B5" s="570">
        <v>603.9</v>
      </c>
      <c r="C5" s="569">
        <f>'пеня 2023'!AA39</f>
        <v>25005.25</v>
      </c>
      <c r="D5" s="552">
        <f>'пеня 2023'!Z70</f>
        <v>29027.55</v>
      </c>
      <c r="E5" s="553">
        <f aca="true" t="shared" si="0" ref="E5:E30">B5+C5+D5</f>
        <v>54636.7</v>
      </c>
      <c r="F5" s="554"/>
      <c r="G5" s="555"/>
      <c r="H5" s="548"/>
      <c r="I5" s="1544"/>
      <c r="J5" s="1544"/>
    </row>
    <row r="6" spans="1:10" ht="27.75" customHeight="1">
      <c r="A6" s="556" t="s">
        <v>144</v>
      </c>
      <c r="B6" s="570">
        <v>0</v>
      </c>
      <c r="C6" s="569">
        <f>'пеня 2023'!AA40</f>
        <v>0</v>
      </c>
      <c r="D6" s="552">
        <f>'пеня 2023'!Z71</f>
        <v>0</v>
      </c>
      <c r="E6" s="553">
        <f t="shared" si="0"/>
        <v>0</v>
      </c>
      <c r="F6" s="554"/>
      <c r="G6" s="555"/>
      <c r="H6" s="548"/>
      <c r="I6" s="1207"/>
      <c r="J6" s="1207"/>
    </row>
    <row r="7" spans="1:10" ht="24.75" customHeight="1">
      <c r="A7" s="556" t="s">
        <v>48</v>
      </c>
      <c r="B7" s="570">
        <v>7340.5</v>
      </c>
      <c r="C7" s="569">
        <f>'пеня 2023'!AA41</f>
        <v>67707.89</v>
      </c>
      <c r="D7" s="552">
        <f>'пеня 2023'!Z72</f>
        <v>69649.2</v>
      </c>
      <c r="E7" s="553">
        <f t="shared" si="0"/>
        <v>144697.59</v>
      </c>
      <c r="F7" s="554"/>
      <c r="G7" s="555"/>
      <c r="H7" s="548"/>
      <c r="I7" s="1544"/>
      <c r="J7" s="1544"/>
    </row>
    <row r="8" spans="1:10" ht="24" customHeight="1">
      <c r="A8" s="557" t="s">
        <v>9</v>
      </c>
      <c r="B8" s="570">
        <v>0</v>
      </c>
      <c r="C8" s="569">
        <f>'пеня 2023'!AA42</f>
        <v>15480.68</v>
      </c>
      <c r="D8" s="552">
        <f>'пеня 2023'!Z73</f>
        <v>17644.539999999997</v>
      </c>
      <c r="E8" s="553">
        <f t="shared" si="0"/>
        <v>33125.22</v>
      </c>
      <c r="F8" s="554"/>
      <c r="G8" s="555"/>
      <c r="H8" s="548"/>
      <c r="I8" s="1544"/>
      <c r="J8" s="1544"/>
    </row>
    <row r="9" spans="1:10" ht="27" customHeight="1">
      <c r="A9" s="557" t="s">
        <v>10</v>
      </c>
      <c r="B9" s="570">
        <v>0</v>
      </c>
      <c r="C9" s="569">
        <f>'пеня 2023'!AA43</f>
        <v>7123.57</v>
      </c>
      <c r="D9" s="552">
        <f>'пеня 2023'!Z74</f>
        <v>7248.32</v>
      </c>
      <c r="E9" s="553">
        <f t="shared" si="0"/>
        <v>14371.89</v>
      </c>
      <c r="F9" s="554"/>
      <c r="G9" s="555"/>
      <c r="H9" s="548"/>
      <c r="I9" s="1544"/>
      <c r="J9" s="1544"/>
    </row>
    <row r="10" spans="1:10" ht="28.5" customHeight="1">
      <c r="A10" s="557" t="s">
        <v>11</v>
      </c>
      <c r="B10" s="570">
        <v>0</v>
      </c>
      <c r="C10" s="569">
        <f>'пеня 2023'!AA44</f>
        <v>7335.1</v>
      </c>
      <c r="D10" s="552">
        <f>'пеня 2023'!Z75</f>
        <v>7565.3</v>
      </c>
      <c r="E10" s="553">
        <f t="shared" si="0"/>
        <v>14900.400000000001</v>
      </c>
      <c r="F10" s="554"/>
      <c r="G10" s="555"/>
      <c r="H10" s="548"/>
      <c r="I10" s="1544"/>
      <c r="J10" s="1544"/>
    </row>
    <row r="11" spans="1:10" ht="27.75" customHeight="1">
      <c r="A11" s="557" t="s">
        <v>12</v>
      </c>
      <c r="B11" s="570">
        <v>4579.200000000001</v>
      </c>
      <c r="C11" s="569">
        <f>'пеня 2023'!AA45</f>
        <v>39537.329999999994</v>
      </c>
      <c r="D11" s="552">
        <f>'пеня 2023'!Z76</f>
        <v>44296.78999999999</v>
      </c>
      <c r="E11" s="553">
        <f t="shared" si="0"/>
        <v>88413.31999999999</v>
      </c>
      <c r="F11" s="554"/>
      <c r="G11" s="555"/>
      <c r="H11" s="548"/>
      <c r="I11" s="1544"/>
      <c r="J11" s="1544"/>
    </row>
    <row r="12" spans="1:10" ht="24.75" customHeight="1">
      <c r="A12" s="557" t="s">
        <v>13</v>
      </c>
      <c r="B12" s="570">
        <v>3225.05</v>
      </c>
      <c r="C12" s="569">
        <f>'пеня 2023'!AA46</f>
        <v>26791.559999999998</v>
      </c>
      <c r="D12" s="552">
        <f>'пеня 2023'!Z77</f>
        <v>28364</v>
      </c>
      <c r="E12" s="553">
        <f t="shared" si="0"/>
        <v>58380.61</v>
      </c>
      <c r="F12" s="554"/>
      <c r="G12" s="555"/>
      <c r="H12" s="548"/>
      <c r="I12" s="1544"/>
      <c r="J12" s="1544"/>
    </row>
    <row r="13" spans="1:10" ht="24" customHeight="1">
      <c r="A13" s="557" t="s">
        <v>14</v>
      </c>
      <c r="B13" s="570">
        <v>8966.54</v>
      </c>
      <c r="C13" s="569">
        <f>'пеня 2023'!AA47</f>
        <v>28927.87</v>
      </c>
      <c r="D13" s="552">
        <f>'пеня 2023'!Z78</f>
        <v>33989.73</v>
      </c>
      <c r="E13" s="553">
        <f t="shared" si="0"/>
        <v>71884.14000000001</v>
      </c>
      <c r="F13" s="554"/>
      <c r="G13" s="555"/>
      <c r="H13" s="548"/>
      <c r="I13" s="1544"/>
      <c r="J13" s="1544"/>
    </row>
    <row r="14" spans="1:10" ht="27" customHeight="1">
      <c r="A14" s="557" t="s">
        <v>55</v>
      </c>
      <c r="B14" s="570">
        <v>1117.77</v>
      </c>
      <c r="C14" s="569">
        <f>'пеня 2023'!AA48</f>
        <v>20103.66</v>
      </c>
      <c r="D14" s="552">
        <f>'пеня 2023'!Z79</f>
        <v>18299.48</v>
      </c>
      <c r="E14" s="553">
        <f t="shared" si="0"/>
        <v>39520.91</v>
      </c>
      <c r="F14" s="554"/>
      <c r="G14" s="555"/>
      <c r="H14" s="548"/>
      <c r="I14" s="1544"/>
      <c r="J14" s="1544"/>
    </row>
    <row r="15" spans="1:10" ht="27" customHeight="1">
      <c r="A15" s="557" t="s">
        <v>15</v>
      </c>
      <c r="B15" s="570">
        <v>2127.42</v>
      </c>
      <c r="C15" s="569">
        <f>'пеня 2023'!AA49</f>
        <v>27498.85</v>
      </c>
      <c r="D15" s="552">
        <f>'пеня 2023'!Z80</f>
        <v>41209.3</v>
      </c>
      <c r="E15" s="553">
        <f t="shared" si="0"/>
        <v>70835.57</v>
      </c>
      <c r="F15" s="554"/>
      <c r="G15" s="555"/>
      <c r="H15" s="548"/>
      <c r="I15" s="1544"/>
      <c r="J15" s="1544"/>
    </row>
    <row r="16" spans="1:10" ht="25.5" customHeight="1">
      <c r="A16" s="557" t="s">
        <v>16</v>
      </c>
      <c r="B16" s="570">
        <v>1745.82</v>
      </c>
      <c r="C16" s="569">
        <f>'пеня 2023'!AA50</f>
        <v>23132.140000000003</v>
      </c>
      <c r="D16" s="552">
        <f>'пеня 2023'!Z81</f>
        <v>34807.71</v>
      </c>
      <c r="E16" s="553">
        <f t="shared" si="0"/>
        <v>59685.67</v>
      </c>
      <c r="F16" s="554"/>
      <c r="G16" s="555"/>
      <c r="H16" s="548"/>
      <c r="I16" s="1544"/>
      <c r="J16" s="1544"/>
    </row>
    <row r="17" spans="1:10" ht="22.5" customHeight="1">
      <c r="A17" s="558" t="s">
        <v>17</v>
      </c>
      <c r="B17" s="570">
        <v>1858.71</v>
      </c>
      <c r="C17" s="569">
        <f>'пеня 2023'!AA51</f>
        <v>34102.05</v>
      </c>
      <c r="D17" s="552">
        <f>'пеня 2023'!Z82</f>
        <v>39807.62</v>
      </c>
      <c r="E17" s="553">
        <f t="shared" si="0"/>
        <v>75768.38</v>
      </c>
      <c r="F17" s="554"/>
      <c r="G17" s="555"/>
      <c r="H17" s="548"/>
      <c r="I17" s="1544"/>
      <c r="J17" s="1544"/>
    </row>
    <row r="18" spans="1:10" ht="26.25" customHeight="1">
      <c r="A18" s="559" t="s">
        <v>18</v>
      </c>
      <c r="B18" s="570">
        <v>11740.56</v>
      </c>
      <c r="C18" s="569">
        <f>'пеня 2023'!AA52</f>
        <v>70254.91</v>
      </c>
      <c r="D18" s="552">
        <f>'пеня 2023'!Z83</f>
        <v>88921.15999999999</v>
      </c>
      <c r="E18" s="553">
        <f t="shared" si="0"/>
        <v>170916.63</v>
      </c>
      <c r="F18" s="554"/>
      <c r="G18" s="555"/>
      <c r="H18" s="548"/>
      <c r="I18" s="1544"/>
      <c r="J18" s="1544"/>
    </row>
    <row r="19" spans="1:10" ht="25.5" customHeight="1">
      <c r="A19" s="560" t="s">
        <v>54</v>
      </c>
      <c r="B19" s="570">
        <v>0</v>
      </c>
      <c r="C19" s="569">
        <f>'пеня 2023'!AA53</f>
        <v>29841.3</v>
      </c>
      <c r="D19" s="552">
        <f>'пеня 2023'!Z84</f>
        <v>36506.549999999996</v>
      </c>
      <c r="E19" s="553">
        <f t="shared" si="0"/>
        <v>66347.84999999999</v>
      </c>
      <c r="F19" s="554"/>
      <c r="G19" s="555"/>
      <c r="H19" s="548"/>
      <c r="I19" s="1544"/>
      <c r="J19" s="1544"/>
    </row>
    <row r="20" spans="1:10" ht="29.25" customHeight="1">
      <c r="A20" s="560" t="s">
        <v>49</v>
      </c>
      <c r="B20" s="570">
        <v>11398.71</v>
      </c>
      <c r="C20" s="569">
        <f>'пеня 2023'!AA54</f>
        <v>68803.87000000001</v>
      </c>
      <c r="D20" s="552">
        <f>'пеня 2023'!Z85</f>
        <v>74785.03000000001</v>
      </c>
      <c r="E20" s="553">
        <f t="shared" si="0"/>
        <v>154987.61000000004</v>
      </c>
      <c r="F20" s="554"/>
      <c r="G20" s="555"/>
      <c r="H20" s="548"/>
      <c r="I20" s="1544"/>
      <c r="J20" s="1544"/>
    </row>
    <row r="21" spans="1:10" ht="24.75" customHeight="1">
      <c r="A21" s="560" t="s">
        <v>19</v>
      </c>
      <c r="B21" s="570">
        <v>4230.99</v>
      </c>
      <c r="C21" s="569">
        <f>'пеня 2023'!AA55</f>
        <v>49401.18</v>
      </c>
      <c r="D21" s="552">
        <f>'пеня 2023'!Z86</f>
        <v>52228.55</v>
      </c>
      <c r="E21" s="553">
        <f t="shared" si="0"/>
        <v>105860.72</v>
      </c>
      <c r="F21" s="554"/>
      <c r="G21" s="555"/>
      <c r="H21" s="548"/>
      <c r="I21" s="1544"/>
      <c r="J21" s="1544"/>
    </row>
    <row r="22" spans="1:10" ht="26.25" customHeight="1">
      <c r="A22" s="574" t="s">
        <v>20</v>
      </c>
      <c r="B22" s="570">
        <v>2067</v>
      </c>
      <c r="C22" s="569">
        <f>'пеня 2023'!AA56</f>
        <v>30464.399999999998</v>
      </c>
      <c r="D22" s="552">
        <f>'пеня 2023'!Z87</f>
        <v>40950.71000000001</v>
      </c>
      <c r="E22" s="553">
        <f t="shared" si="0"/>
        <v>73482.11</v>
      </c>
      <c r="F22" s="554"/>
      <c r="G22" s="555"/>
      <c r="H22" s="548"/>
      <c r="I22" s="1544"/>
      <c r="J22" s="1544"/>
    </row>
    <row r="23" spans="1:10" ht="26.25" customHeight="1">
      <c r="A23" s="574" t="s">
        <v>114</v>
      </c>
      <c r="B23" s="570">
        <v>7086.1</v>
      </c>
      <c r="C23" s="569">
        <f>'пеня 2023'!AA57</f>
        <v>41961.64</v>
      </c>
      <c r="D23" s="552">
        <f>'пеня 2023'!Z88</f>
        <v>44826.16</v>
      </c>
      <c r="E23" s="553">
        <f t="shared" si="0"/>
        <v>93873.9</v>
      </c>
      <c r="F23" s="554"/>
      <c r="G23" s="555"/>
      <c r="H23" s="548"/>
      <c r="I23" s="1207"/>
      <c r="J23" s="1207"/>
    </row>
    <row r="24" spans="1:10" ht="26.25" customHeight="1">
      <c r="A24" s="574" t="s">
        <v>150</v>
      </c>
      <c r="B24" s="570">
        <v>0</v>
      </c>
      <c r="C24" s="569">
        <f>'пеня 2023'!AA58</f>
        <v>12959.24</v>
      </c>
      <c r="D24" s="552">
        <f>'пеня 2023'!Z89</f>
        <v>16331.33</v>
      </c>
      <c r="E24" s="553">
        <f t="shared" si="0"/>
        <v>29290.57</v>
      </c>
      <c r="F24" s="554"/>
      <c r="G24" s="555"/>
      <c r="H24" s="548"/>
      <c r="I24" s="1207"/>
      <c r="J24" s="1207"/>
    </row>
    <row r="25" spans="1:10" ht="28.5" customHeight="1">
      <c r="A25" s="560" t="s">
        <v>192</v>
      </c>
      <c r="B25" s="570">
        <v>11545.09</v>
      </c>
      <c r="C25" s="569">
        <f>'пеня 2023'!AA59</f>
        <v>35831.43</v>
      </c>
      <c r="D25" s="552">
        <f>'пеня 2023'!Z90</f>
        <v>42718.54</v>
      </c>
      <c r="E25" s="553">
        <f t="shared" si="0"/>
        <v>90095.06</v>
      </c>
      <c r="F25" s="555"/>
      <c r="G25" s="555"/>
      <c r="H25" s="549"/>
      <c r="I25" s="1544"/>
      <c r="J25" s="1544"/>
    </row>
    <row r="26" spans="1:10" ht="28.5" customHeight="1">
      <c r="A26" s="574" t="s">
        <v>193</v>
      </c>
      <c r="B26" s="570">
        <v>4199.1900000000005</v>
      </c>
      <c r="C26" s="569">
        <f>'пеня 2023'!AA60</f>
        <v>39620.9</v>
      </c>
      <c r="D26" s="552">
        <f>'пеня 2023'!Z91</f>
        <v>61566.659999999996</v>
      </c>
      <c r="E26" s="553">
        <f t="shared" si="0"/>
        <v>105386.75</v>
      </c>
      <c r="F26" s="565"/>
      <c r="G26" s="566"/>
      <c r="H26" s="550"/>
      <c r="I26" s="1544"/>
      <c r="J26" s="1544"/>
    </row>
    <row r="27" spans="1:8" ht="25.5">
      <c r="A27" s="574" t="s">
        <v>217</v>
      </c>
      <c r="B27" s="837">
        <v>1927.08</v>
      </c>
      <c r="C27" s="569">
        <f>'пеня 2023'!AA61</f>
        <v>39945.05</v>
      </c>
      <c r="D27" s="552">
        <f>'пеня 2023'!Z92</f>
        <v>46335.68</v>
      </c>
      <c r="E27" s="553">
        <f t="shared" si="0"/>
        <v>88207.81</v>
      </c>
      <c r="F27" s="568"/>
      <c r="G27" s="568"/>
      <c r="H27" s="11"/>
    </row>
    <row r="28" spans="1:7" ht="27.75" customHeight="1">
      <c r="A28" s="574" t="s">
        <v>239</v>
      </c>
      <c r="B28" s="837">
        <v>0</v>
      </c>
      <c r="C28" s="569">
        <f>'пеня 2023'!AA62</f>
        <v>15858.640000000001</v>
      </c>
      <c r="D28" s="552">
        <f>'пеня 2023'!Z93</f>
        <v>18335.41</v>
      </c>
      <c r="E28" s="553">
        <f t="shared" si="0"/>
        <v>34194.05</v>
      </c>
      <c r="G28" s="53"/>
    </row>
    <row r="29" spans="1:7" ht="27.75" customHeight="1">
      <c r="A29" s="574" t="s">
        <v>409</v>
      </c>
      <c r="B29" s="837"/>
      <c r="C29" s="569">
        <f>'пеня 2023'!AA63</f>
        <v>72840.17000000001</v>
      </c>
      <c r="D29" s="552">
        <f>'пеня 2023'!Z94</f>
        <v>49705.8</v>
      </c>
      <c r="E29" s="553">
        <f t="shared" si="0"/>
        <v>122545.97000000002</v>
      </c>
      <c r="G29" s="53"/>
    </row>
    <row r="30" spans="1:7" ht="27.75" customHeight="1">
      <c r="A30" s="574" t="s">
        <v>317</v>
      </c>
      <c r="B30" s="837"/>
      <c r="C30" s="569">
        <f>'пеня 2023'!AA64</f>
        <v>145322.17</v>
      </c>
      <c r="D30" s="552">
        <f>'пеня 2023'!Z95</f>
        <v>158691.19</v>
      </c>
      <c r="E30" s="553">
        <f t="shared" si="0"/>
        <v>304013.36</v>
      </c>
      <c r="G30" s="53"/>
    </row>
    <row r="31" spans="1:7" ht="34.5" customHeight="1">
      <c r="A31" s="564" t="s">
        <v>88</v>
      </c>
      <c r="B31" s="837">
        <v>102846.83000000002</v>
      </c>
      <c r="C31" s="1223">
        <f>SUM(C4:C30)</f>
        <v>986748.6500000003</v>
      </c>
      <c r="D31" s="552">
        <f>SUM(D4:D30)</f>
        <v>1119066.0000000002</v>
      </c>
      <c r="E31" s="553">
        <f>B31+C31+D31</f>
        <v>2208661.4800000004</v>
      </c>
      <c r="G31" s="39">
        <f>C31+D31+B31</f>
        <v>2208661.4800000004</v>
      </c>
    </row>
    <row r="32" spans="3:4" ht="30.75" customHeight="1">
      <c r="C32" s="39"/>
      <c r="D32" s="53"/>
    </row>
    <row r="33" spans="1:11" ht="36" customHeight="1">
      <c r="A33" s="1562"/>
      <c r="B33" s="1562"/>
      <c r="C33" s="1562"/>
      <c r="D33" s="1562"/>
      <c r="E33" s="1562"/>
      <c r="F33" s="1562"/>
      <c r="G33" s="1562"/>
      <c r="H33" s="571"/>
      <c r="I33" s="1563"/>
      <c r="J33" s="1563"/>
      <c r="K33" s="11"/>
    </row>
    <row r="34" spans="1:11" ht="27" customHeight="1" thickBot="1">
      <c r="A34" s="1546" t="s">
        <v>91</v>
      </c>
      <c r="B34" s="1546"/>
      <c r="C34" s="1546"/>
      <c r="D34" s="1546"/>
      <c r="E34" s="1546"/>
      <c r="F34" s="1546"/>
      <c r="G34" s="1546"/>
      <c r="I34" s="1564" t="s">
        <v>418</v>
      </c>
      <c r="J34" s="1565"/>
      <c r="K34" s="11"/>
    </row>
    <row r="35" spans="1:11" ht="105" customHeight="1">
      <c r="A35" s="1547" t="s">
        <v>1</v>
      </c>
      <c r="B35" s="1556" t="s">
        <v>435</v>
      </c>
      <c r="C35" s="1551" t="s">
        <v>419</v>
      </c>
      <c r="D35" s="1553" t="s">
        <v>420</v>
      </c>
      <c r="E35" s="1555" t="s">
        <v>421</v>
      </c>
      <c r="F35" s="1555" t="s">
        <v>155</v>
      </c>
      <c r="G35" s="1558"/>
      <c r="H35" s="1559"/>
      <c r="I35" s="1560"/>
      <c r="J35" s="1560"/>
      <c r="K35" s="11"/>
    </row>
    <row r="36" spans="1:11" ht="41.25" customHeight="1" thickBot="1">
      <c r="A36" s="1548"/>
      <c r="B36" s="1561"/>
      <c r="C36" s="1552"/>
      <c r="D36" s="1554"/>
      <c r="E36" s="1555"/>
      <c r="F36" s="1555"/>
      <c r="G36" s="1558"/>
      <c r="H36" s="1559"/>
      <c r="I36" s="1560"/>
      <c r="J36" s="1560"/>
      <c r="K36" s="11"/>
    </row>
    <row r="37" spans="1:11" ht="26.25">
      <c r="A37" s="551" t="s">
        <v>47</v>
      </c>
      <c r="B37" s="570">
        <f>'пеня 2023'!AB100</f>
        <v>14459.64</v>
      </c>
      <c r="C37" s="569">
        <f>'пеня 2023'!AE100</f>
        <v>15583.31</v>
      </c>
      <c r="D37" s="552">
        <f>'пеня 2023'!Z131</f>
        <v>14722.810000000001</v>
      </c>
      <c r="E37" s="553">
        <f>'пеня 2023'!Z162</f>
        <v>14183.93</v>
      </c>
      <c r="F37" s="575">
        <f>B37+C37+D37+E37</f>
        <v>58949.689999999995</v>
      </c>
      <c r="G37" s="555"/>
      <c r="H37" s="548"/>
      <c r="I37" s="1544"/>
      <c r="J37" s="1544"/>
      <c r="K37" s="11"/>
    </row>
    <row r="38" spans="1:11" ht="26.25">
      <c r="A38" s="556" t="s">
        <v>53</v>
      </c>
      <c r="B38" s="570">
        <f>'пеня 2023'!AB101</f>
        <v>120.78</v>
      </c>
      <c r="C38" s="569">
        <f>'пеня 2023'!AE101</f>
        <v>32521.54</v>
      </c>
      <c r="D38" s="552">
        <f>'пеня 2023'!Z132</f>
        <v>36414.6</v>
      </c>
      <c r="E38" s="553">
        <f>'пеня 2023'!Z163</f>
        <v>32196.17</v>
      </c>
      <c r="F38" s="575">
        <f aca="true" t="shared" si="1" ref="F38:F63">B38+C38+D38+E38</f>
        <v>101253.09</v>
      </c>
      <c r="G38" s="555"/>
      <c r="H38" s="548"/>
      <c r="I38" s="1544"/>
      <c r="J38" s="1544"/>
      <c r="K38" s="11"/>
    </row>
    <row r="39" spans="1:11" ht="26.25">
      <c r="A39" s="556" t="s">
        <v>144</v>
      </c>
      <c r="B39" s="570">
        <f>'пеня 2023'!AB102</f>
        <v>0</v>
      </c>
      <c r="C39" s="569">
        <f>'пеня 2023'!AE102</f>
        <v>0</v>
      </c>
      <c r="D39" s="552">
        <f>'пеня 2023'!Z133</f>
        <v>0</v>
      </c>
      <c r="E39" s="553">
        <f>'пеня 2023'!Z164</f>
        <v>0</v>
      </c>
      <c r="F39" s="575">
        <f t="shared" si="1"/>
        <v>0</v>
      </c>
      <c r="G39" s="555"/>
      <c r="H39" s="548"/>
      <c r="I39" s="1207"/>
      <c r="J39" s="1207"/>
      <c r="K39" s="11"/>
    </row>
    <row r="40" spans="1:11" ht="26.25">
      <c r="A40" s="556" t="s">
        <v>48</v>
      </c>
      <c r="B40" s="570">
        <f>'пеня 2023'!AB103</f>
        <v>5754.49</v>
      </c>
      <c r="C40" s="569">
        <f>'пеня 2023'!AE103</f>
        <v>77320.54</v>
      </c>
      <c r="D40" s="552">
        <f>'пеня 2023'!Z134</f>
        <v>75223.79</v>
      </c>
      <c r="E40" s="553">
        <f>'пеня 2023'!Z165</f>
        <v>79513.73</v>
      </c>
      <c r="F40" s="575">
        <f t="shared" si="1"/>
        <v>237812.55</v>
      </c>
      <c r="G40" s="555"/>
      <c r="H40" s="548"/>
      <c r="I40" s="1544"/>
      <c r="J40" s="1544"/>
      <c r="K40" s="11"/>
    </row>
    <row r="41" spans="1:11" ht="26.25">
      <c r="A41" s="557" t="s">
        <v>9</v>
      </c>
      <c r="B41" s="570">
        <f>'пеня 2023'!AB104</f>
        <v>0</v>
      </c>
      <c r="C41" s="569">
        <f>'пеня 2023'!AE104</f>
        <v>18491.989999999998</v>
      </c>
      <c r="D41" s="552">
        <f>'пеня 2023'!Z135</f>
        <v>21090.75</v>
      </c>
      <c r="E41" s="553">
        <f>'пеня 2023'!Z166</f>
        <v>17970.01</v>
      </c>
      <c r="F41" s="575">
        <f t="shared" si="1"/>
        <v>57552.75</v>
      </c>
      <c r="G41" s="555"/>
      <c r="H41" s="548"/>
      <c r="I41" s="1544"/>
      <c r="J41" s="1544"/>
      <c r="K41" s="11"/>
    </row>
    <row r="42" spans="1:11" ht="26.25">
      <c r="A42" s="557" t="s">
        <v>10</v>
      </c>
      <c r="B42" s="570">
        <f>'пеня 2023'!AB105</f>
        <v>0</v>
      </c>
      <c r="C42" s="569">
        <f>'пеня 2023'!AE105</f>
        <v>8905.9</v>
      </c>
      <c r="D42" s="552">
        <f>'пеня 2023'!Z136</f>
        <v>8913.08</v>
      </c>
      <c r="E42" s="553">
        <f>'пеня 2023'!Z167</f>
        <v>10255.16</v>
      </c>
      <c r="F42" s="575">
        <f t="shared" si="1"/>
        <v>28074.14</v>
      </c>
      <c r="G42" s="555"/>
      <c r="H42" s="548"/>
      <c r="I42" s="1544"/>
      <c r="J42" s="1544"/>
      <c r="K42" s="11"/>
    </row>
    <row r="43" spans="1:11" ht="26.25">
      <c r="A43" s="557" t="s">
        <v>11</v>
      </c>
      <c r="B43" s="570">
        <f>'пеня 2023'!AB106</f>
        <v>0</v>
      </c>
      <c r="C43" s="569">
        <f>'пеня 2023'!AE106</f>
        <v>9956.06</v>
      </c>
      <c r="D43" s="552">
        <f>'пеня 2023'!Z137</f>
        <v>8939.14</v>
      </c>
      <c r="E43" s="553">
        <f>'пеня 2023'!Z168</f>
        <v>6936.18</v>
      </c>
      <c r="F43" s="575">
        <f t="shared" si="1"/>
        <v>25831.379999999997</v>
      </c>
      <c r="G43" s="555"/>
      <c r="H43" s="548"/>
      <c r="I43" s="1544"/>
      <c r="J43" s="1544"/>
      <c r="K43" s="11"/>
    </row>
    <row r="44" spans="1:11" ht="26.25">
      <c r="A44" s="557" t="s">
        <v>12</v>
      </c>
      <c r="B44" s="570">
        <f>'пеня 2023'!AB107</f>
        <v>5166.72</v>
      </c>
      <c r="C44" s="569">
        <f>'пеня 2023'!AE107</f>
        <v>53155.520000000004</v>
      </c>
      <c r="D44" s="552">
        <f>'пеня 2023'!Z138</f>
        <v>50920.82</v>
      </c>
      <c r="E44" s="553">
        <f>'пеня 2023'!Z169</f>
        <v>44853.09</v>
      </c>
      <c r="F44" s="575">
        <f t="shared" si="1"/>
        <v>154096.15</v>
      </c>
      <c r="G44" s="555"/>
      <c r="H44" s="548"/>
      <c r="I44" s="1544"/>
      <c r="J44" s="1544"/>
      <c r="K44" s="11"/>
    </row>
    <row r="45" spans="1:11" ht="26.25">
      <c r="A45" s="557" t="s">
        <v>13</v>
      </c>
      <c r="B45" s="570">
        <f>'пеня 2023'!AB108</f>
        <v>1455.54</v>
      </c>
      <c r="C45" s="569">
        <f>'пеня 2023'!AE108</f>
        <v>30324.45</v>
      </c>
      <c r="D45" s="552">
        <f>'пеня 2023'!Z139</f>
        <v>31461.35</v>
      </c>
      <c r="E45" s="553">
        <f>'пеня 2023'!Z170</f>
        <v>29262.690000000002</v>
      </c>
      <c r="F45" s="575">
        <f t="shared" si="1"/>
        <v>92504.03</v>
      </c>
      <c r="G45" s="555"/>
      <c r="H45" s="548"/>
      <c r="I45" s="1544"/>
      <c r="J45" s="1544"/>
      <c r="K45" s="11"/>
    </row>
    <row r="46" spans="1:11" ht="26.25">
      <c r="A46" s="557" t="s">
        <v>14</v>
      </c>
      <c r="B46" s="570">
        <f>'пеня 2023'!AB109</f>
        <v>7924.92</v>
      </c>
      <c r="C46" s="569">
        <f>'пеня 2023'!AE109</f>
        <v>38976.51</v>
      </c>
      <c r="D46" s="552">
        <f>'пеня 2023'!Z140</f>
        <v>43361.76</v>
      </c>
      <c r="E46" s="553">
        <f>'пеня 2023'!Z171</f>
        <v>33560.9</v>
      </c>
      <c r="F46" s="575">
        <f t="shared" si="1"/>
        <v>123824.09</v>
      </c>
      <c r="G46" s="555"/>
      <c r="H46" s="548"/>
      <c r="I46" s="1544"/>
      <c r="J46" s="1544"/>
      <c r="K46" s="11"/>
    </row>
    <row r="47" spans="1:11" ht="26.25">
      <c r="A47" s="557" t="s">
        <v>55</v>
      </c>
      <c r="B47" s="570">
        <f>'пеня 2023'!AB110</f>
        <v>1899.2399999999998</v>
      </c>
      <c r="C47" s="569">
        <f>'пеня 2023'!AE110</f>
        <v>16289.25</v>
      </c>
      <c r="D47" s="552">
        <f>'пеня 2023'!Z141</f>
        <v>13374.03</v>
      </c>
      <c r="E47" s="553">
        <f>'пеня 2023'!Z172</f>
        <v>16135.98</v>
      </c>
      <c r="F47" s="575">
        <f t="shared" si="1"/>
        <v>47698.5</v>
      </c>
      <c r="G47" s="555"/>
      <c r="H47" s="548"/>
      <c r="I47" s="1544"/>
      <c r="J47" s="1544"/>
      <c r="K47" s="11"/>
    </row>
    <row r="48" spans="1:11" ht="26.25">
      <c r="A48" s="557" t="s">
        <v>15</v>
      </c>
      <c r="B48" s="570">
        <f>'пеня 2023'!AB111</f>
        <v>1200.18</v>
      </c>
      <c r="C48" s="569">
        <f>'пеня 2023'!AE111</f>
        <v>43680.39</v>
      </c>
      <c r="D48" s="552">
        <f>'пеня 2023'!Z142</f>
        <v>37103.65</v>
      </c>
      <c r="E48" s="553">
        <f>'пеня 2023'!Z173</f>
        <v>39247.24</v>
      </c>
      <c r="F48" s="575">
        <f t="shared" si="1"/>
        <v>121231.45999999999</v>
      </c>
      <c r="G48" s="555"/>
      <c r="H48" s="548"/>
      <c r="I48" s="1544"/>
      <c r="J48" s="1544"/>
      <c r="K48" s="11"/>
    </row>
    <row r="49" spans="1:11" ht="26.25">
      <c r="A49" s="557" t="s">
        <v>16</v>
      </c>
      <c r="B49" s="570">
        <f>'пеня 2023'!AB112</f>
        <v>984.9</v>
      </c>
      <c r="C49" s="569">
        <f>'пеня 2023'!AE112</f>
        <v>29758.11</v>
      </c>
      <c r="D49" s="552">
        <f>'пеня 2023'!Z143</f>
        <v>35055.75</v>
      </c>
      <c r="E49" s="553">
        <f>'пеня 2023'!Z174</f>
        <v>27937.24</v>
      </c>
      <c r="F49" s="575">
        <f t="shared" si="1"/>
        <v>93736.00000000001</v>
      </c>
      <c r="G49" s="555"/>
      <c r="H49" s="548"/>
      <c r="I49" s="1544"/>
      <c r="J49" s="1544"/>
      <c r="K49" s="11"/>
    </row>
    <row r="50" spans="1:11" ht="26.25">
      <c r="A50" s="558" t="s">
        <v>17</v>
      </c>
      <c r="B50" s="570">
        <f>'пеня 2023'!AB113</f>
        <v>1398.12</v>
      </c>
      <c r="C50" s="569">
        <f>'пеня 2023'!AE113</f>
        <v>39357.9</v>
      </c>
      <c r="D50" s="552">
        <f>'пеня 2023'!Z144</f>
        <v>41274.48</v>
      </c>
      <c r="E50" s="553">
        <f>'пеня 2023'!Z175</f>
        <v>42572.520000000004</v>
      </c>
      <c r="F50" s="575">
        <f t="shared" si="1"/>
        <v>124603.02</v>
      </c>
      <c r="G50" s="555"/>
      <c r="H50" s="548"/>
      <c r="I50" s="1544"/>
      <c r="J50" s="1544"/>
      <c r="K50" s="11"/>
    </row>
    <row r="51" spans="1:11" ht="26.25">
      <c r="A51" s="559" t="s">
        <v>18</v>
      </c>
      <c r="B51" s="570">
        <f>'пеня 2023'!AB114</f>
        <v>5037.62</v>
      </c>
      <c r="C51" s="569">
        <f>'пеня 2023'!AE114</f>
        <v>93514.04</v>
      </c>
      <c r="D51" s="552">
        <f>'пеня 2023'!Z145</f>
        <v>101335.98</v>
      </c>
      <c r="E51" s="553">
        <f>'пеня 2023'!Z176</f>
        <v>81688</v>
      </c>
      <c r="F51" s="575">
        <f t="shared" si="1"/>
        <v>281575.64</v>
      </c>
      <c r="G51" s="555"/>
      <c r="H51" s="548"/>
      <c r="I51" s="1544"/>
      <c r="J51" s="1544"/>
      <c r="K51" s="11"/>
    </row>
    <row r="52" spans="1:11" ht="26.25">
      <c r="A52" s="560" t="s">
        <v>54</v>
      </c>
      <c r="B52" s="570">
        <f>'пеня 2023'!AB115</f>
        <v>0</v>
      </c>
      <c r="C52" s="569">
        <f>'пеня 2023'!AE115</f>
        <v>37669.65</v>
      </c>
      <c r="D52" s="552">
        <f>'пеня 2023'!Z146</f>
        <v>37727.15</v>
      </c>
      <c r="E52" s="553">
        <f>'пеня 2023'!Z177</f>
        <v>39586.41</v>
      </c>
      <c r="F52" s="575">
        <f t="shared" si="1"/>
        <v>114983.21</v>
      </c>
      <c r="G52" s="555"/>
      <c r="H52" s="548"/>
      <c r="I52" s="1544"/>
      <c r="J52" s="1544"/>
      <c r="K52" s="11"/>
    </row>
    <row r="53" spans="1:11" ht="26.25">
      <c r="A53" s="560" t="s">
        <v>49</v>
      </c>
      <c r="B53" s="570">
        <f>'пеня 2023'!AB116</f>
        <v>7739.91</v>
      </c>
      <c r="C53" s="569">
        <f>'пеня 2023'!AE116</f>
        <v>81377.1</v>
      </c>
      <c r="D53" s="552">
        <f>'пеня 2023'!Z147</f>
        <v>78676.74</v>
      </c>
      <c r="E53" s="553">
        <f>'пеня 2023'!Z178</f>
        <v>76468.23</v>
      </c>
      <c r="F53" s="575">
        <f t="shared" si="1"/>
        <v>244261.97999999998</v>
      </c>
      <c r="G53" s="555"/>
      <c r="H53" s="548"/>
      <c r="I53" s="1544"/>
      <c r="J53" s="1544"/>
      <c r="K53" s="11"/>
    </row>
    <row r="54" spans="1:11" ht="26.25">
      <c r="A54" s="560" t="s">
        <v>19</v>
      </c>
      <c r="B54" s="570">
        <f>'пеня 2023'!AB117</f>
        <v>3480.02</v>
      </c>
      <c r="C54" s="569">
        <f>'пеня 2023'!AE117</f>
        <v>65098.63</v>
      </c>
      <c r="D54" s="552">
        <f>'пеня 2023'!Z148</f>
        <v>53387.3</v>
      </c>
      <c r="E54" s="553">
        <f>'пеня 2023'!Z179</f>
        <v>62158.850000000006</v>
      </c>
      <c r="F54" s="575">
        <f t="shared" si="1"/>
        <v>184124.8</v>
      </c>
      <c r="G54" s="555"/>
      <c r="H54" s="548"/>
      <c r="I54" s="1544"/>
      <c r="J54" s="1544"/>
      <c r="K54" s="11"/>
    </row>
    <row r="55" spans="1:11" ht="26.25">
      <c r="A55" s="574" t="s">
        <v>20</v>
      </c>
      <c r="B55" s="570">
        <f>'пеня 2023'!AB118</f>
        <v>2067</v>
      </c>
      <c r="C55" s="569">
        <f>'пеня 2023'!AE118</f>
        <v>40690.52</v>
      </c>
      <c r="D55" s="552">
        <f>'пеня 2023'!Z149</f>
        <v>41140.68</v>
      </c>
      <c r="E55" s="553">
        <f>'пеня 2023'!Z180</f>
        <v>35954.07</v>
      </c>
      <c r="F55" s="575">
        <f t="shared" si="1"/>
        <v>119852.26999999999</v>
      </c>
      <c r="G55" s="555"/>
      <c r="H55" s="548"/>
      <c r="I55" s="1544"/>
      <c r="J55" s="1544"/>
      <c r="K55" s="11"/>
    </row>
    <row r="56" spans="1:11" ht="26.25">
      <c r="A56" s="574" t="s">
        <v>114</v>
      </c>
      <c r="B56" s="570">
        <f>'пеня 2023'!AB119</f>
        <v>4021.5599999999995</v>
      </c>
      <c r="C56" s="569">
        <f>'пеня 2023'!AE119</f>
        <v>53277.44</v>
      </c>
      <c r="D56" s="552">
        <f>'пеня 2023'!Z150</f>
        <v>40966.59</v>
      </c>
      <c r="E56" s="553">
        <f>'пеня 2023'!Z181</f>
        <v>50914.119999999995</v>
      </c>
      <c r="F56" s="575">
        <f t="shared" si="1"/>
        <v>149179.71</v>
      </c>
      <c r="G56" s="555"/>
      <c r="H56" s="548"/>
      <c r="I56" s="1207"/>
      <c r="J56" s="1207"/>
      <c r="K56" s="11"/>
    </row>
    <row r="57" spans="1:11" ht="26.25">
      <c r="A57" s="574" t="s">
        <v>150</v>
      </c>
      <c r="B57" s="570">
        <f>'пеня 2023'!AB120</f>
        <v>0</v>
      </c>
      <c r="C57" s="569">
        <f>'пеня 2023'!AE120</f>
        <v>17998.82</v>
      </c>
      <c r="D57" s="552">
        <f>'пеня 2023'!Z151</f>
        <v>17944.780000000002</v>
      </c>
      <c r="E57" s="553">
        <f>'пеня 2023'!Z182</f>
        <v>16556.57</v>
      </c>
      <c r="F57" s="575">
        <f t="shared" si="1"/>
        <v>52500.170000000006</v>
      </c>
      <c r="G57" s="555"/>
      <c r="H57" s="548"/>
      <c r="I57" s="1207"/>
      <c r="J57" s="1207"/>
      <c r="K57" s="11"/>
    </row>
    <row r="58" spans="1:11" ht="26.25">
      <c r="A58" s="560" t="s">
        <v>192</v>
      </c>
      <c r="B58" s="570">
        <f>'пеня 2023'!AB121</f>
        <v>13746.330000000002</v>
      </c>
      <c r="C58" s="569">
        <f>'пеня 2023'!AE121</f>
        <v>42608.66</v>
      </c>
      <c r="D58" s="552">
        <f>'пеня 2023'!Z152</f>
        <v>42476.46</v>
      </c>
      <c r="E58" s="553">
        <f>'пеня 2023'!Z183</f>
        <v>49012.09</v>
      </c>
      <c r="F58" s="575">
        <f t="shared" si="1"/>
        <v>147843.54</v>
      </c>
      <c r="G58" s="555"/>
      <c r="H58" s="548"/>
      <c r="I58" s="1544"/>
      <c r="J58" s="1544"/>
      <c r="K58" s="11"/>
    </row>
    <row r="59" spans="1:11" ht="26.25">
      <c r="A59" s="885" t="s">
        <v>193</v>
      </c>
      <c r="B59" s="570">
        <f>'пеня 2023'!AB122</f>
        <v>2103.57</v>
      </c>
      <c r="C59" s="569">
        <f>'пеня 2023'!AE122</f>
        <v>57561.45</v>
      </c>
      <c r="D59" s="552">
        <f>'пеня 2023'!Z153</f>
        <v>48535.79</v>
      </c>
      <c r="E59" s="553">
        <f>'пеня 2023'!Z184</f>
        <v>48710.06</v>
      </c>
      <c r="F59" s="575">
        <f t="shared" si="1"/>
        <v>156910.87</v>
      </c>
      <c r="G59" s="555"/>
      <c r="H59" s="548"/>
      <c r="I59" s="1207"/>
      <c r="J59" s="1207"/>
      <c r="K59" s="11"/>
    </row>
    <row r="60" spans="1:11" ht="26.25">
      <c r="A60" s="574" t="s">
        <v>219</v>
      </c>
      <c r="B60" s="570">
        <v>748.63</v>
      </c>
      <c r="C60" s="569">
        <f>'пеня 2023'!AE123</f>
        <v>46884.11</v>
      </c>
      <c r="D60" s="552">
        <f>'пеня 2023'!Z154</f>
        <v>50468.939999999995</v>
      </c>
      <c r="E60" s="553">
        <f>'пеня 2023'!Z185</f>
        <v>55502.009999999995</v>
      </c>
      <c r="F60" s="575">
        <f t="shared" si="1"/>
        <v>153603.69</v>
      </c>
      <c r="G60" s="555"/>
      <c r="H60" s="548"/>
      <c r="I60" s="1207"/>
      <c r="J60" s="1207"/>
      <c r="K60" s="11"/>
    </row>
    <row r="61" spans="1:11" ht="26.25">
      <c r="A61" s="885" t="s">
        <v>239</v>
      </c>
      <c r="B61" s="570">
        <f>'пеня 2023'!AB124</f>
        <v>0</v>
      </c>
      <c r="C61" s="569">
        <f>'пеня 2023'!AE124</f>
        <v>40711</v>
      </c>
      <c r="D61" s="552">
        <f>'пеня 2023'!Z155</f>
        <v>28257.5</v>
      </c>
      <c r="E61" s="553">
        <f>'пеня 2023'!Z186</f>
        <v>17276.100000000002</v>
      </c>
      <c r="F61" s="575">
        <f t="shared" si="1"/>
        <v>86244.6</v>
      </c>
      <c r="G61" s="555"/>
      <c r="H61" s="548"/>
      <c r="I61" s="1207"/>
      <c r="J61" s="1207"/>
      <c r="K61" s="11"/>
    </row>
    <row r="62" spans="1:11" ht="26.25">
      <c r="A62" s="574" t="s">
        <v>409</v>
      </c>
      <c r="B62" s="570">
        <f>'пеня 2023'!AB125</f>
        <v>5624.29</v>
      </c>
      <c r="C62" s="569">
        <f>'пеня 2023'!AE125</f>
        <v>81415.58</v>
      </c>
      <c r="D62" s="552">
        <f>'пеня 2023'!Z156</f>
        <v>88666.45</v>
      </c>
      <c r="E62" s="553">
        <f>'пеня 2023'!Z187</f>
        <v>53910.99</v>
      </c>
      <c r="F62" s="575">
        <f t="shared" si="1"/>
        <v>229617.31</v>
      </c>
      <c r="G62" s="555"/>
      <c r="H62" s="548"/>
      <c r="I62" s="1256"/>
      <c r="J62" s="1256"/>
      <c r="K62" s="11"/>
    </row>
    <row r="63" spans="1:11" ht="26.25">
      <c r="A63" s="574" t="s">
        <v>317</v>
      </c>
      <c r="B63" s="570">
        <f>'пеня 2023'!AB126</f>
        <v>11812.279999999999</v>
      </c>
      <c r="C63" s="569">
        <f>'пеня 2023'!AE126</f>
        <v>212553.88</v>
      </c>
      <c r="D63" s="552">
        <f>'пеня 2023'!Z157</f>
        <v>139052.26</v>
      </c>
      <c r="E63" s="553">
        <f>'пеня 2023'!Z188</f>
        <v>119784.9</v>
      </c>
      <c r="F63" s="575">
        <f t="shared" si="1"/>
        <v>483203.32000000007</v>
      </c>
      <c r="G63" s="555"/>
      <c r="H63" s="548"/>
      <c r="I63" s="1256"/>
      <c r="J63" s="1256"/>
      <c r="K63" s="11"/>
    </row>
    <row r="64" spans="1:11" ht="24.75" customHeight="1" thickBot="1">
      <c r="A64" s="573" t="s">
        <v>21</v>
      </c>
      <c r="B64" s="1257">
        <f>SUM(B37:B63)</f>
        <v>96745.74</v>
      </c>
      <c r="C64" s="1258">
        <f>SUM(C37:C63)</f>
        <v>1285682.35</v>
      </c>
      <c r="D64" s="552">
        <f>'пеня 2023'!Z158</f>
        <v>1186492.63</v>
      </c>
      <c r="E64" s="1259">
        <f>SUM(E37:E63)</f>
        <v>1102147.2399999998</v>
      </c>
      <c r="F64" s="1260">
        <f>B64+C64+D64+E64</f>
        <v>3671067.9599999995</v>
      </c>
      <c r="G64" s="555"/>
      <c r="H64" s="549"/>
      <c r="I64" s="1544"/>
      <c r="J64" s="1544"/>
      <c r="K64" s="11"/>
    </row>
    <row r="65" spans="1:11" ht="36.75" customHeight="1" thickBot="1">
      <c r="A65" s="561"/>
      <c r="B65" s="562"/>
      <c r="C65" s="562"/>
      <c r="D65" s="563"/>
      <c r="E65" s="596"/>
      <c r="F65" s="596"/>
      <c r="G65" s="566"/>
      <c r="H65" s="550"/>
      <c r="I65" s="1544"/>
      <c r="J65" s="1544"/>
      <c r="K65" s="11"/>
    </row>
    <row r="66" spans="1:11" ht="15">
      <c r="A66" s="1158"/>
      <c r="B66" s="1158"/>
      <c r="C66" s="1158"/>
      <c r="D66" s="1158"/>
      <c r="E66" s="1158"/>
      <c r="F66" s="568"/>
      <c r="G66" s="568"/>
      <c r="H66" s="11"/>
      <c r="K66" s="11"/>
    </row>
    <row r="67" spans="7:11" ht="15">
      <c r="G67" s="53"/>
      <c r="K67" s="11"/>
    </row>
    <row r="68" ht="15">
      <c r="K68" s="11"/>
    </row>
    <row r="69" spans="1:11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3" spans="5:12" ht="26.25">
      <c r="E73" s="1545" t="s">
        <v>422</v>
      </c>
      <c r="F73" s="1545"/>
      <c r="G73" s="1545"/>
      <c r="H73" s="1545"/>
      <c r="I73" s="1545"/>
      <c r="J73" s="1545"/>
      <c r="K73" s="1545"/>
      <c r="L73" s="1545"/>
    </row>
    <row r="74" spans="1:7" ht="42" customHeight="1" thickBot="1">
      <c r="A74" s="1546" t="s">
        <v>91</v>
      </c>
      <c r="B74" s="1546"/>
      <c r="C74" s="1546"/>
      <c r="D74" s="1546"/>
      <c r="E74" s="1546"/>
      <c r="F74" s="1546"/>
      <c r="G74" s="1546"/>
    </row>
    <row r="75" spans="1:7" ht="62.25" customHeight="1">
      <c r="A75" s="1547" t="s">
        <v>1</v>
      </c>
      <c r="B75" s="1730" t="s">
        <v>443</v>
      </c>
      <c r="C75" s="1551" t="s">
        <v>423</v>
      </c>
      <c r="D75" s="1553" t="s">
        <v>425</v>
      </c>
      <c r="E75" s="1732" t="s">
        <v>424</v>
      </c>
      <c r="F75" s="1733" t="s">
        <v>163</v>
      </c>
      <c r="G75" s="1558"/>
    </row>
    <row r="76" spans="1:7" ht="96.75" customHeight="1" thickBot="1">
      <c r="A76" s="1548"/>
      <c r="B76" s="1731"/>
      <c r="C76" s="1552"/>
      <c r="D76" s="1554"/>
      <c r="E76" s="1732"/>
      <c r="F76" s="1733"/>
      <c r="G76" s="1558"/>
    </row>
    <row r="77" spans="1:7" ht="25.5">
      <c r="A77" s="551" t="s">
        <v>47</v>
      </c>
      <c r="B77" s="1347">
        <f>'пеня 2023'!AB193</f>
        <v>11502.18</v>
      </c>
      <c r="C77" s="1349">
        <f>'пеня 2023'!AE193</f>
        <v>15835.02</v>
      </c>
      <c r="D77" s="1397">
        <f>'пеня 2023'!Z225</f>
        <v>13515.689999999999</v>
      </c>
      <c r="E77" s="1417">
        <f>'пеня 2023'!Z257</f>
        <v>13547.66</v>
      </c>
      <c r="F77" s="575">
        <f>B77+C77+D77+E77</f>
        <v>54400.55</v>
      </c>
      <c r="G77" s="555"/>
    </row>
    <row r="78" spans="1:7" ht="25.5">
      <c r="A78" s="556" t="s">
        <v>53</v>
      </c>
      <c r="B78" s="1347">
        <f>'пеня 2023'!AB194</f>
        <v>1066.43</v>
      </c>
      <c r="C78" s="1349">
        <f>'пеня 2023'!AE194</f>
        <v>31133.64</v>
      </c>
      <c r="D78" s="1397">
        <f>'пеня 2023'!Z226</f>
        <v>32976.45</v>
      </c>
      <c r="E78" s="1417">
        <f>'пеня 2023'!Z258</f>
        <v>31928.08</v>
      </c>
      <c r="F78" s="575">
        <f aca="true" t="shared" si="2" ref="F78:F103">B78+C78+D78+E78</f>
        <v>97104.6</v>
      </c>
      <c r="G78" s="555"/>
    </row>
    <row r="79" spans="1:7" ht="25.5">
      <c r="A79" s="556" t="s">
        <v>144</v>
      </c>
      <c r="B79" s="1347">
        <f>'пеня 2023'!AB195</f>
        <v>0</v>
      </c>
      <c r="C79" s="1349">
        <f>'пеня 2023'!AE195</f>
        <v>0</v>
      </c>
      <c r="D79" s="1340">
        <f>'пеня 2023'!Z227</f>
        <v>0</v>
      </c>
      <c r="E79" s="1339">
        <f>'пеня 2023'!Z259</f>
        <v>0</v>
      </c>
      <c r="F79" s="575">
        <f t="shared" si="2"/>
        <v>0</v>
      </c>
      <c r="G79" s="555"/>
    </row>
    <row r="80" spans="1:7" ht="25.5">
      <c r="A80" s="556" t="s">
        <v>48</v>
      </c>
      <c r="B80" s="1347">
        <f>'пеня 2023'!AB196</f>
        <v>7905.98</v>
      </c>
      <c r="C80" s="569">
        <v>84519.39</v>
      </c>
      <c r="D80" s="1397">
        <f>'пеня 2023'!Z228</f>
        <v>81356.97</v>
      </c>
      <c r="E80" s="1417">
        <f>'пеня 2023'!Z260</f>
        <v>73888.12</v>
      </c>
      <c r="F80" s="575">
        <f t="shared" si="2"/>
        <v>247670.46</v>
      </c>
      <c r="G80" s="555"/>
    </row>
    <row r="81" spans="1:7" ht="25.5">
      <c r="A81" s="557" t="s">
        <v>9</v>
      </c>
      <c r="B81" s="1347">
        <f>'пеня 2023'!AB197</f>
        <v>2197.91</v>
      </c>
      <c r="C81" s="1349">
        <f>'пеня 2023'!AE197</f>
        <v>22881.539999999997</v>
      </c>
      <c r="D81" s="1340">
        <f>'пеня 2023'!Z229</f>
        <v>18255.39</v>
      </c>
      <c r="E81" s="1339">
        <f>'пеня 2023'!Z261</f>
        <v>17353.39</v>
      </c>
      <c r="F81" s="575">
        <f t="shared" si="2"/>
        <v>60688.229999999996</v>
      </c>
      <c r="G81" s="555"/>
    </row>
    <row r="82" spans="1:7" ht="25.5">
      <c r="A82" s="557" t="s">
        <v>10</v>
      </c>
      <c r="B82" s="1347">
        <f>'пеня 2023'!AB198</f>
        <v>0</v>
      </c>
      <c r="C82" s="1349">
        <f>'пеня 2023'!AE198</f>
        <v>9273.689999999999</v>
      </c>
      <c r="D82" s="1397">
        <f>'пеня 2023'!Z230</f>
        <v>8379.89</v>
      </c>
      <c r="E82" s="1417">
        <f>'пеня 2023'!Z262</f>
        <v>8075.65</v>
      </c>
      <c r="F82" s="575">
        <f t="shared" si="2"/>
        <v>25729.229999999996</v>
      </c>
      <c r="G82" s="555"/>
    </row>
    <row r="83" spans="1:7" ht="25.5">
      <c r="A83" s="557" t="s">
        <v>11</v>
      </c>
      <c r="B83" s="1347">
        <f>'пеня 2023'!AB199</f>
        <v>0</v>
      </c>
      <c r="C83" s="1349">
        <f>'пеня 2023'!AE199</f>
        <v>9212.33</v>
      </c>
      <c r="D83" s="1397">
        <f>'пеня 2023'!Z231</f>
        <v>8198.77</v>
      </c>
      <c r="E83" s="1417">
        <f>'пеня 2023'!Z263</f>
        <v>13015.84</v>
      </c>
      <c r="F83" s="575">
        <f t="shared" si="2"/>
        <v>30426.94</v>
      </c>
      <c r="G83" s="555"/>
    </row>
    <row r="84" spans="1:7" ht="25.5">
      <c r="A84" s="557" t="s">
        <v>12</v>
      </c>
      <c r="B84" s="1347">
        <f>'пеня 2023'!AB200</f>
        <v>5684</v>
      </c>
      <c r="C84" s="1349">
        <f>'пеня 2023'!AE200</f>
        <v>53756.99</v>
      </c>
      <c r="D84" s="1397">
        <f>'пеня 2023'!Z232</f>
        <v>47471.47</v>
      </c>
      <c r="E84" s="1417">
        <f>'пеня 2023'!Z264</f>
        <v>45445.829999999994</v>
      </c>
      <c r="F84" s="575">
        <f t="shared" si="2"/>
        <v>152358.28999999998</v>
      </c>
      <c r="G84" s="555"/>
    </row>
    <row r="85" spans="1:7" ht="25.5">
      <c r="A85" s="557" t="s">
        <v>13</v>
      </c>
      <c r="B85" s="1347">
        <f>'пеня 2023'!AB201</f>
        <v>3085.45</v>
      </c>
      <c r="C85" s="1349">
        <f>'пеня 2023'!AE201</f>
        <v>29436.690000000002</v>
      </c>
      <c r="D85" s="1397">
        <f>'пеня 2023'!Z233</f>
        <v>30951.960000000003</v>
      </c>
      <c r="E85" s="1417">
        <f>'пеня 2023'!Z265</f>
        <v>29608.72</v>
      </c>
      <c r="F85" s="575">
        <f t="shared" si="2"/>
        <v>93082.82</v>
      </c>
      <c r="G85" s="555"/>
    </row>
    <row r="86" spans="1:7" ht="25.5">
      <c r="A86" s="557" t="s">
        <v>14</v>
      </c>
      <c r="B86" s="1347">
        <f>'пеня 2023'!AB202</f>
        <v>9671.32</v>
      </c>
      <c r="C86" s="1349">
        <f>'пеня 2023'!AE202</f>
        <v>33299.12</v>
      </c>
      <c r="D86" s="1340">
        <v>35354.3</v>
      </c>
      <c r="E86" s="1339">
        <v>39426.89</v>
      </c>
      <c r="F86" s="575">
        <f t="shared" si="2"/>
        <v>117751.63</v>
      </c>
      <c r="G86" s="555"/>
    </row>
    <row r="87" spans="1:7" ht="25.5">
      <c r="A87" s="557" t="s">
        <v>55</v>
      </c>
      <c r="B87" s="1347">
        <f>'пеня 2023'!AB203</f>
        <v>2572.7</v>
      </c>
      <c r="C87" s="1349">
        <f>'пеня 2023'!AE203</f>
        <v>15917.289999999999</v>
      </c>
      <c r="D87" s="1397">
        <f>'пеня 2023'!Z235</f>
        <v>16608.679999999997</v>
      </c>
      <c r="E87" s="1417">
        <f>'пеня 2023'!Z267</f>
        <v>21564.86</v>
      </c>
      <c r="F87" s="575">
        <f t="shared" si="2"/>
        <v>56663.53</v>
      </c>
      <c r="G87" s="555"/>
    </row>
    <row r="88" spans="1:7" ht="25.5">
      <c r="A88" s="557" t="s">
        <v>15</v>
      </c>
      <c r="B88" s="1347">
        <f>'пеня 2023'!AB204</f>
        <v>3617.9</v>
      </c>
      <c r="C88" s="1349">
        <f>'пеня 2023'!AE204</f>
        <v>34043.35</v>
      </c>
      <c r="D88" s="1397">
        <f>'пеня 2023'!Z236</f>
        <v>40525.43</v>
      </c>
      <c r="E88" s="1417">
        <f>'пеня 2023'!Z268</f>
        <v>35693.7</v>
      </c>
      <c r="F88" s="575">
        <f t="shared" si="2"/>
        <v>113880.37999999999</v>
      </c>
      <c r="G88" s="555"/>
    </row>
    <row r="89" spans="1:7" ht="25.5">
      <c r="A89" s="557" t="s">
        <v>16</v>
      </c>
      <c r="B89" s="1347">
        <f>'пеня 2023'!AB205</f>
        <v>0</v>
      </c>
      <c r="C89" s="1349">
        <f>'пеня 2023'!AE205</f>
        <v>30496.38</v>
      </c>
      <c r="D89" s="1397">
        <f>'пеня 2023'!Z237</f>
        <v>32963.33</v>
      </c>
      <c r="E89" s="1417">
        <f>'пеня 2023'!Z269</f>
        <v>32314.07</v>
      </c>
      <c r="F89" s="575">
        <f t="shared" si="2"/>
        <v>95773.78</v>
      </c>
      <c r="G89" s="555"/>
    </row>
    <row r="90" spans="1:7" ht="25.5">
      <c r="A90" s="558" t="s">
        <v>17</v>
      </c>
      <c r="B90" s="1347">
        <f>'пеня 2023'!AB206</f>
        <v>2465.5299999999997</v>
      </c>
      <c r="C90" s="1349">
        <f>'пеня 2023'!AE206</f>
        <v>45567.13</v>
      </c>
      <c r="D90" s="1397">
        <f>'пеня 2023'!Z238</f>
        <v>39298.14</v>
      </c>
      <c r="E90" s="1417">
        <f>'пеня 2023'!Z270</f>
        <v>48641.85</v>
      </c>
      <c r="F90" s="575">
        <f t="shared" si="2"/>
        <v>135972.65</v>
      </c>
      <c r="G90" s="555"/>
    </row>
    <row r="91" spans="1:7" ht="25.5">
      <c r="A91" s="559" t="s">
        <v>18</v>
      </c>
      <c r="B91" s="1347">
        <f>'пеня 2023'!AB207</f>
        <v>5354.18</v>
      </c>
      <c r="C91" s="1349">
        <f>'пеня 2023'!AE207</f>
        <v>89172.69</v>
      </c>
      <c r="D91" s="1397">
        <f>'пеня 2023'!Z239</f>
        <v>88154.14</v>
      </c>
      <c r="E91" s="1417">
        <f>'пеня 2023'!Z271</f>
        <v>84675.24</v>
      </c>
      <c r="F91" s="575">
        <f t="shared" si="2"/>
        <v>267356.25</v>
      </c>
      <c r="G91" s="555"/>
    </row>
    <row r="92" spans="1:7" ht="25.5">
      <c r="A92" s="560" t="s">
        <v>54</v>
      </c>
      <c r="B92" s="1347">
        <f>'пеня 2023'!AB208</f>
        <v>442.02</v>
      </c>
      <c r="C92" s="1349">
        <f>'пеня 2023'!AE208</f>
        <v>40979.05</v>
      </c>
      <c r="D92" s="1397">
        <f>'пеня 2023'!Z240</f>
        <v>34768.74</v>
      </c>
      <c r="E92" s="1417">
        <f>'пеня 2023'!Z272</f>
        <v>38579.32</v>
      </c>
      <c r="F92" s="575">
        <f t="shared" si="2"/>
        <v>114769.13</v>
      </c>
      <c r="G92" s="555"/>
    </row>
    <row r="93" spans="1:7" ht="25.5">
      <c r="A93" s="560" t="s">
        <v>49</v>
      </c>
      <c r="B93" s="1347">
        <f>'пеня 2023'!AB209</f>
        <v>13124.699999999999</v>
      </c>
      <c r="C93" s="1349">
        <f>'пеня 2023'!AE209</f>
        <v>80110.32</v>
      </c>
      <c r="D93" s="1397">
        <f>'пеня 2023'!Z241</f>
        <v>81439.56</v>
      </c>
      <c r="E93" s="1417">
        <f>'пеня 2023'!Z273</f>
        <v>81007.53</v>
      </c>
      <c r="F93" s="575">
        <f t="shared" si="2"/>
        <v>255682.11000000002</v>
      </c>
      <c r="G93" s="555"/>
    </row>
    <row r="94" spans="1:7" ht="25.5">
      <c r="A94" s="560" t="s">
        <v>19</v>
      </c>
      <c r="B94" s="1347">
        <f>'пеня 2023'!AB210</f>
        <v>2700.86</v>
      </c>
      <c r="C94" s="1349">
        <f>'пеня 2023'!AE210</f>
        <v>58059.270000000004</v>
      </c>
      <c r="D94" s="1397">
        <f>'пеня 2023'!Z242</f>
        <v>59837.770000000004</v>
      </c>
      <c r="E94" s="1417">
        <f>'пеня 2023'!Z274</f>
        <v>58782.45</v>
      </c>
      <c r="F94" s="575">
        <f t="shared" si="2"/>
        <v>179380.35</v>
      </c>
      <c r="G94" s="555"/>
    </row>
    <row r="95" spans="1:7" ht="25.5">
      <c r="A95" s="574" t="s">
        <v>20</v>
      </c>
      <c r="B95" s="1347">
        <f>'пеня 2023'!AB211</f>
        <v>4487.6</v>
      </c>
      <c r="C95" s="1349">
        <f>'пеня 2023'!AE211</f>
        <v>39744.369999999995</v>
      </c>
      <c r="D95" s="1397">
        <f>'пеня 2023'!Z243</f>
        <v>37566.979999999996</v>
      </c>
      <c r="E95" s="1417">
        <f>'пеня 2023'!Z275</f>
        <v>37416.29</v>
      </c>
      <c r="F95" s="575">
        <f t="shared" si="2"/>
        <v>119215.23999999999</v>
      </c>
      <c r="G95" s="555"/>
    </row>
    <row r="96" spans="1:7" ht="25.5">
      <c r="A96" s="574" t="s">
        <v>114</v>
      </c>
      <c r="B96" s="1347">
        <f>'пеня 2023'!AB212</f>
        <v>4266.349999999999</v>
      </c>
      <c r="C96" s="1349">
        <f>'пеня 2023'!AE212</f>
        <v>51744.630000000005</v>
      </c>
      <c r="D96" s="1397">
        <f>'пеня 2023'!Z244</f>
        <v>50485.53</v>
      </c>
      <c r="E96" s="1417">
        <f>'пеня 2023'!Z276</f>
        <v>50018.649999999994</v>
      </c>
      <c r="F96" s="575">
        <f t="shared" si="2"/>
        <v>156515.16</v>
      </c>
      <c r="G96" s="555"/>
    </row>
    <row r="97" spans="1:7" ht="25.5">
      <c r="A97" s="574" t="s">
        <v>150</v>
      </c>
      <c r="B97" s="1347">
        <f>'пеня 2023'!AB213</f>
        <v>0</v>
      </c>
      <c r="C97" s="1349">
        <f>'пеня 2023'!AE213</f>
        <v>15395.84</v>
      </c>
      <c r="D97" s="1397">
        <f>'пеня 2023'!Z245</f>
        <v>21081.190000000002</v>
      </c>
      <c r="E97" s="1417">
        <f>'пеня 2023'!Z277</f>
        <v>15120.5</v>
      </c>
      <c r="F97" s="575">
        <f t="shared" si="2"/>
        <v>51597.53</v>
      </c>
      <c r="G97" s="555"/>
    </row>
    <row r="98" spans="1:11" ht="26.25">
      <c r="A98" s="560" t="s">
        <v>192</v>
      </c>
      <c r="B98" s="1347">
        <f>'пеня 2023'!AB214</f>
        <v>58689.130000000005</v>
      </c>
      <c r="C98" s="1349">
        <f>'пеня 2023'!AE214</f>
        <v>49609.310000000005</v>
      </c>
      <c r="D98" s="1397">
        <f>'пеня 2023'!Z246</f>
        <v>40966.29</v>
      </c>
      <c r="E98" s="1417">
        <f>'пеня 2023'!Z278</f>
        <v>48310.4</v>
      </c>
      <c r="F98" s="575">
        <f t="shared" si="2"/>
        <v>197575.13</v>
      </c>
      <c r="G98" s="555"/>
      <c r="H98" s="548"/>
      <c r="I98" s="1544"/>
      <c r="J98" s="1544"/>
      <c r="K98" s="11"/>
    </row>
    <row r="99" spans="1:11" ht="26.25">
      <c r="A99" s="574" t="s">
        <v>193</v>
      </c>
      <c r="B99" s="1347">
        <f>'пеня 2023'!AB215</f>
        <v>4566.98</v>
      </c>
      <c r="C99" s="1349">
        <f>'пеня 2023'!AE215</f>
        <v>63286.43</v>
      </c>
      <c r="D99" s="1397">
        <f>'пеня 2023'!Z247</f>
        <v>58589.909999999996</v>
      </c>
      <c r="E99" s="1417">
        <f>'пеня 2023'!Z279</f>
        <v>56547.16</v>
      </c>
      <c r="F99" s="575">
        <f t="shared" si="2"/>
        <v>182990.48</v>
      </c>
      <c r="G99" s="555"/>
      <c r="H99" s="548"/>
      <c r="I99" s="1207"/>
      <c r="J99" s="1207"/>
      <c r="K99" s="11"/>
    </row>
    <row r="100" spans="1:11" ht="26.25">
      <c r="A100" s="574" t="s">
        <v>217</v>
      </c>
      <c r="B100" s="1347">
        <f>'пеня 2023'!AB216</f>
        <v>2174.33</v>
      </c>
      <c r="C100" s="1349">
        <f>'пеня 2023'!AE216</f>
        <v>50516.5</v>
      </c>
      <c r="D100" s="1397">
        <f>'пеня 2023'!Z248</f>
        <v>45947.96</v>
      </c>
      <c r="E100" s="1417">
        <f>'пеня 2023'!Z280</f>
        <v>46934.18</v>
      </c>
      <c r="F100" s="575">
        <f t="shared" si="2"/>
        <v>145572.97</v>
      </c>
      <c r="G100" s="555"/>
      <c r="H100" s="548"/>
      <c r="I100" s="1207"/>
      <c r="J100" s="1207"/>
      <c r="K100" s="11"/>
    </row>
    <row r="101" spans="1:11" ht="26.25">
      <c r="A101" s="1066" t="s">
        <v>257</v>
      </c>
      <c r="B101" s="1347">
        <f>'пеня 2023'!AB217</f>
        <v>0</v>
      </c>
      <c r="C101" s="1349">
        <f>'пеня 2023'!AE217</f>
        <v>22138.97</v>
      </c>
      <c r="D101" s="1397">
        <f>'пеня 2023'!Z249</f>
        <v>16695.16</v>
      </c>
      <c r="E101" s="1417">
        <f>'пеня 2023'!Z281</f>
        <v>16997.73</v>
      </c>
      <c r="F101" s="575">
        <f t="shared" si="2"/>
        <v>55831.86</v>
      </c>
      <c r="G101" s="555"/>
      <c r="H101" s="548"/>
      <c r="I101" s="1207"/>
      <c r="J101" s="1207"/>
      <c r="K101" s="11"/>
    </row>
    <row r="102" spans="1:11" ht="26.25">
      <c r="A102" s="1336" t="s">
        <v>306</v>
      </c>
      <c r="B102" s="570">
        <f>'пеня 2023'!AB218</f>
        <v>5667.2699999999995</v>
      </c>
      <c r="C102" s="1349">
        <f>'пеня 2023'!AE218</f>
        <v>124928.14</v>
      </c>
      <c r="D102" s="1397">
        <f>'пеня 2023'!Z250</f>
        <v>76150.7</v>
      </c>
      <c r="E102" s="1417">
        <f>'пеня 2023'!Z282</f>
        <v>67948.04999999999</v>
      </c>
      <c r="F102" s="575">
        <f t="shared" si="2"/>
        <v>274694.16</v>
      </c>
      <c r="G102" s="555"/>
      <c r="H102" s="548"/>
      <c r="I102" s="1207"/>
      <c r="J102" s="1207"/>
      <c r="K102" s="11"/>
    </row>
    <row r="103" spans="1:7" ht="26.25" thickBot="1">
      <c r="A103" s="885" t="s">
        <v>317</v>
      </c>
      <c r="B103" s="1345">
        <f>'пеня 2023'!AB219</f>
        <v>22109.899999999998</v>
      </c>
      <c r="C103" s="1350">
        <f>'пеня 2023'!AE219</f>
        <v>182504.37</v>
      </c>
      <c r="D103" s="1398">
        <f>'пеня 2023'!Z251</f>
        <v>86971.48</v>
      </c>
      <c r="E103" s="1417">
        <f>'пеня 2023'!Z283</f>
        <v>68956.34</v>
      </c>
      <c r="F103" s="575">
        <f t="shared" si="2"/>
        <v>360542.08999999997</v>
      </c>
      <c r="G103" s="555"/>
    </row>
    <row r="104" spans="1:7" ht="27" thickBot="1">
      <c r="A104" s="1346" t="s">
        <v>21</v>
      </c>
      <c r="B104" s="1344">
        <f>SUM(B77:B103)</f>
        <v>173352.72</v>
      </c>
      <c r="C104" s="1344">
        <f>SUM(C77:C103)</f>
        <v>1283562.4499999997</v>
      </c>
      <c r="D104" s="1343">
        <f>SUM(D77:D103)</f>
        <v>1104511.8800000001</v>
      </c>
      <c r="E104" s="1342">
        <f>SUM(E77:E103)</f>
        <v>1081798.5000000002</v>
      </c>
      <c r="F104" s="1337">
        <f>SUM(F77:F103)</f>
        <v>3643225.55</v>
      </c>
      <c r="G104" s="566"/>
    </row>
    <row r="105" spans="1:7" ht="26.25">
      <c r="A105" s="597"/>
      <c r="B105" s="597"/>
      <c r="C105" s="597"/>
      <c r="D105" s="565"/>
      <c r="E105" s="597"/>
      <c r="F105" s="565"/>
      <c r="G105" s="566"/>
    </row>
    <row r="106" spans="1:7" ht="26.25">
      <c r="A106" s="597"/>
      <c r="B106" s="597"/>
      <c r="C106" s="597"/>
      <c r="D106" s="565"/>
      <c r="E106" s="1341"/>
      <c r="F106" s="565"/>
      <c r="G106" s="566"/>
    </row>
    <row r="107" spans="1:7" ht="26.25">
      <c r="A107" s="597"/>
      <c r="B107" s="597"/>
      <c r="C107" s="597"/>
      <c r="D107" s="565"/>
      <c r="E107" s="597"/>
      <c r="F107" s="565"/>
      <c r="G107" s="566"/>
    </row>
    <row r="108" spans="5:12" ht="26.25">
      <c r="E108" s="1545" t="s">
        <v>427</v>
      </c>
      <c r="F108" s="1545"/>
      <c r="G108" s="1545"/>
      <c r="H108" s="1545"/>
      <c r="I108" s="1545"/>
      <c r="J108" s="1545"/>
      <c r="K108" s="1545"/>
      <c r="L108" s="1545"/>
    </row>
    <row r="109" spans="1:7" ht="24" thickBot="1">
      <c r="A109" s="1546" t="s">
        <v>485</v>
      </c>
      <c r="B109" s="1546"/>
      <c r="C109" s="1546"/>
      <c r="D109" s="1546"/>
      <c r="E109" s="1546"/>
      <c r="F109" s="1546"/>
      <c r="G109" s="1546"/>
    </row>
    <row r="110" spans="1:7" ht="45" customHeight="1">
      <c r="A110" s="1547" t="s">
        <v>1</v>
      </c>
      <c r="B110" s="1730" t="s">
        <v>460</v>
      </c>
      <c r="C110" s="1551" t="s">
        <v>426</v>
      </c>
      <c r="D110" s="1553" t="s">
        <v>461</v>
      </c>
      <c r="E110" s="1732" t="s">
        <v>462</v>
      </c>
      <c r="F110" s="1733" t="s">
        <v>165</v>
      </c>
      <c r="G110" s="1556" t="s">
        <v>483</v>
      </c>
    </row>
    <row r="111" spans="1:9" ht="75" customHeight="1" thickBot="1">
      <c r="A111" s="1548"/>
      <c r="B111" s="1731"/>
      <c r="C111" s="1552"/>
      <c r="D111" s="1554"/>
      <c r="E111" s="1732"/>
      <c r="F111" s="1733"/>
      <c r="G111" s="1557"/>
      <c r="H111" s="68" t="s">
        <v>484</v>
      </c>
      <c r="I111" s="68"/>
    </row>
    <row r="112" spans="1:7" ht="25.5">
      <c r="A112" s="551" t="s">
        <v>47</v>
      </c>
      <c r="B112" s="1428">
        <f>'пеня 2023'!AB289</f>
        <v>34944.14</v>
      </c>
      <c r="C112" s="1349">
        <f>'пеня 2023'!AE289</f>
        <v>14416.5</v>
      </c>
      <c r="D112" s="1459">
        <f>'пеня 2023'!Z322</f>
        <v>18432.350000000002</v>
      </c>
      <c r="E112" s="1471">
        <f>'пеня 2023'!Z353</f>
        <v>13714.849999999999</v>
      </c>
      <c r="F112" s="575">
        <f>B112+C112+D112+E112+G112</f>
        <v>115424.59</v>
      </c>
      <c r="G112" s="1473">
        <f>'пеня 2023'!AB385+'пеня 2023'!AE385-'пеня 2023'!AE385-'пеня 2023'!W385</f>
        <v>33916.75000000001</v>
      </c>
    </row>
    <row r="113" spans="1:7" ht="25.5">
      <c r="A113" s="556" t="s">
        <v>53</v>
      </c>
      <c r="B113" s="1428">
        <f>'пеня 2023'!AB290</f>
        <v>131.30999999999995</v>
      </c>
      <c r="C113" s="1349">
        <f>'пеня 2023'!AE290</f>
        <v>34953.61</v>
      </c>
      <c r="D113" s="1459">
        <f>'пеня 2023'!Z323</f>
        <v>37003.67</v>
      </c>
      <c r="E113" s="1471">
        <f>'пеня 2023'!Z354</f>
        <v>28973.829999999998</v>
      </c>
      <c r="F113" s="575">
        <f>B113+C113+D113+E113+G113</f>
        <v>107309.55</v>
      </c>
      <c r="G113" s="1473">
        <f>'пеня 2023'!AB386+'пеня 2023'!AE386-'пеня 2023'!AE386-'пеня 2023'!W386</f>
        <v>6247.130000000005</v>
      </c>
    </row>
    <row r="114" spans="1:7" ht="25.5">
      <c r="A114" s="556" t="s">
        <v>144</v>
      </c>
      <c r="B114" s="1428">
        <f>'пеня 2023'!AB291</f>
        <v>0</v>
      </c>
      <c r="C114" s="1437">
        <f>'пеня 2023'!AE291</f>
        <v>0</v>
      </c>
      <c r="D114" s="1460">
        <f>'пеня 2023'!Z324</f>
        <v>0</v>
      </c>
      <c r="E114" s="1471">
        <f>'пеня 2023'!Z355</f>
        <v>0</v>
      </c>
      <c r="F114" s="575">
        <f aca="true" t="shared" si="3" ref="F114:F122">B114+C114+D114+E114+G114</f>
        <v>0</v>
      </c>
      <c r="G114" s="1473">
        <f>'пеня 2023'!AB387+'пеня 2023'!AE387-'пеня 2023'!AE387-'пеня 2023'!W387</f>
        <v>0</v>
      </c>
    </row>
    <row r="115" spans="1:7" ht="25.5">
      <c r="A115" s="556" t="s">
        <v>48</v>
      </c>
      <c r="B115" s="1428">
        <f>'пеня 2023'!AB292</f>
        <v>26105.989999999998</v>
      </c>
      <c r="C115" s="1349">
        <f>'пеня 2023'!AE292</f>
        <v>83193.51</v>
      </c>
      <c r="D115" s="1459">
        <f>'пеня 2023'!Z325</f>
        <v>77608.78</v>
      </c>
      <c r="E115" s="1471">
        <f>'пеня 2023'!Z356</f>
        <v>79989.61</v>
      </c>
      <c r="F115" s="575">
        <f t="shared" si="3"/>
        <v>298570.12</v>
      </c>
      <c r="G115" s="1473">
        <f>'пеня 2023'!AB388+'пеня 2023'!AE388-'пеня 2023'!AE388-'пеня 2023'!W388</f>
        <v>31672.229999999996</v>
      </c>
    </row>
    <row r="116" spans="1:7" ht="25.5">
      <c r="A116" s="557" t="s">
        <v>9</v>
      </c>
      <c r="B116" s="1422">
        <f>'пеня 2023'!AB293</f>
        <v>25346.19</v>
      </c>
      <c r="C116" s="1437">
        <f>'пеня 2023'!AE293</f>
        <v>17745.46</v>
      </c>
      <c r="D116" s="1460">
        <f>'пеня 2023'!Z326</f>
        <v>16637.02</v>
      </c>
      <c r="E116" s="553">
        <f>'пеня 2023'!Z357</f>
        <v>20248.31</v>
      </c>
      <c r="F116" s="575">
        <f t="shared" si="3"/>
        <v>114818.26</v>
      </c>
      <c r="G116" s="1473">
        <f>'пеня 2023'!AB389+'пеня 2023'!AE389-'пеня 2023'!AE389-'пеня 2023'!W389</f>
        <v>34841.28</v>
      </c>
    </row>
    <row r="117" spans="1:7" ht="25.5">
      <c r="A117" s="557" t="s">
        <v>10</v>
      </c>
      <c r="B117" s="1428">
        <f>'пеня 2023'!AB294</f>
        <v>0</v>
      </c>
      <c r="C117" s="1349">
        <f>'пеня 2023'!AE294</f>
        <v>8306.300000000001</v>
      </c>
      <c r="D117" s="1459">
        <f>'пеня 2023'!Z327</f>
        <v>8735.02</v>
      </c>
      <c r="E117" s="1471">
        <f>'пеня 2023'!Z358</f>
        <v>9096.06</v>
      </c>
      <c r="F117" s="575">
        <f t="shared" si="3"/>
        <v>26137.379999999997</v>
      </c>
      <c r="G117" s="1473">
        <f>'пеня 2023'!AB390+'пеня 2023'!AE390-'пеня 2023'!AE390-'пеня 2023'!W390</f>
        <v>0</v>
      </c>
    </row>
    <row r="118" spans="1:7" ht="25.5">
      <c r="A118" s="557" t="s">
        <v>11</v>
      </c>
      <c r="B118" s="1428">
        <f>'пеня 2023'!AB295</f>
        <v>0</v>
      </c>
      <c r="C118" s="1349">
        <f>'пеня 2023'!AE295</f>
        <v>7914.02</v>
      </c>
      <c r="D118" s="1459">
        <f>'пеня 2023'!Z328</f>
        <v>6900.58</v>
      </c>
      <c r="E118" s="1471">
        <f>'пеня 2023'!Z359</f>
        <v>8761.65</v>
      </c>
      <c r="F118" s="575">
        <f t="shared" si="3"/>
        <v>23567.41</v>
      </c>
      <c r="G118" s="1473">
        <f>'пеня 2023'!AB391+'пеня 2023'!AE391-'пеня 2023'!AE391-'пеня 2023'!W391</f>
        <v>-8.84</v>
      </c>
    </row>
    <row r="119" spans="1:7" ht="25.5">
      <c r="A119" s="557" t="s">
        <v>12</v>
      </c>
      <c r="B119" s="1428">
        <f>'пеня 2023'!AB296</f>
        <v>11374.08</v>
      </c>
      <c r="C119" s="1349">
        <f>'пеня 2023'!AE296</f>
        <v>56236.44</v>
      </c>
      <c r="D119" s="1459">
        <f>'пеня 2023'!Z329</f>
        <v>47416.649999999994</v>
      </c>
      <c r="E119" s="1471">
        <f>'пеня 2023'!Z360</f>
        <v>47057.630000000005</v>
      </c>
      <c r="F119" s="575">
        <f t="shared" si="3"/>
        <v>177483.56999999998</v>
      </c>
      <c r="G119" s="1473">
        <f>'пеня 2023'!AB392+'пеня 2023'!AE392-'пеня 2023'!AE392-'пеня 2023'!W392</f>
        <v>15398.769999999997</v>
      </c>
    </row>
    <row r="120" spans="1:7" ht="25.5">
      <c r="A120" s="557" t="s">
        <v>13</v>
      </c>
      <c r="B120" s="1428">
        <f>'пеня 2023'!AB297</f>
        <v>3547.98</v>
      </c>
      <c r="C120" s="1349">
        <f>'пеня 2023'!AE297</f>
        <v>27635.89</v>
      </c>
      <c r="D120" s="1459">
        <f>'пеня 2023'!Z330</f>
        <v>27855.42</v>
      </c>
      <c r="E120" s="1471">
        <f>'пеня 2023'!Z361</f>
        <v>30157.65</v>
      </c>
      <c r="F120" s="575">
        <f t="shared" si="3"/>
        <v>95393.08</v>
      </c>
      <c r="G120" s="1473">
        <f>'пеня 2023'!AB393+'пеня 2023'!AE393-'пеня 2023'!AE393-'пеня 2023'!W393</f>
        <v>6196.139999999996</v>
      </c>
    </row>
    <row r="121" spans="1:7" ht="25.5">
      <c r="A121" s="557" t="s">
        <v>14</v>
      </c>
      <c r="B121" s="1428">
        <f>'пеня 2023'!AB298</f>
        <v>11816.74</v>
      </c>
      <c r="C121" s="1349">
        <f>'пеня 2023'!AE298</f>
        <v>35467.939999999995</v>
      </c>
      <c r="D121" s="1459">
        <f>'пеня 2023'!Z331</f>
        <v>36108.869999999995</v>
      </c>
      <c r="E121" s="1471">
        <f>'пеня 2023'!Z362</f>
        <v>43285.53</v>
      </c>
      <c r="F121" s="575">
        <f t="shared" si="3"/>
        <v>134635.3</v>
      </c>
      <c r="G121" s="1473">
        <f>'пеня 2023'!AB394+'пеня 2023'!AE394-'пеня 2023'!AE394-'пеня 2023'!W394</f>
        <v>7956.219999999999</v>
      </c>
    </row>
    <row r="122" spans="1:7" ht="25.5">
      <c r="A122" s="557" t="s">
        <v>55</v>
      </c>
      <c r="B122" s="1428">
        <f>'пеня 2023'!AB299</f>
        <v>2931.64</v>
      </c>
      <c r="C122" s="1349">
        <f>'пеня 2023'!AE299</f>
        <v>14741.99</v>
      </c>
      <c r="D122" s="1459">
        <f>'пеня 2023'!Z332</f>
        <v>16671.170000000002</v>
      </c>
      <c r="E122" s="1471">
        <f>'пеня 2023'!Z363</f>
        <v>14683.15</v>
      </c>
      <c r="F122" s="575">
        <f t="shared" si="3"/>
        <v>54029.93000000001</v>
      </c>
      <c r="G122" s="1473">
        <f>'пеня 2023'!AB395+'пеня 2023'!AE395-'пеня 2023'!AE395-'пеня 2023'!W395</f>
        <v>5001.980000000002</v>
      </c>
    </row>
    <row r="123" spans="1:7" ht="25.5">
      <c r="A123" s="557" t="s">
        <v>15</v>
      </c>
      <c r="B123" s="1428">
        <f>'пеня 2023'!AB300</f>
        <v>1200.18</v>
      </c>
      <c r="C123" s="1349">
        <f>'пеня 2023'!AE300</f>
        <v>37720.27</v>
      </c>
      <c r="D123" s="1459">
        <f>'пеня 2023'!Z333</f>
        <v>35491.159999999996</v>
      </c>
      <c r="E123" s="1471">
        <f>'пеня 2023'!Z364</f>
        <v>37040.75</v>
      </c>
      <c r="F123" s="575">
        <f>B123+C123+D123+E123+G123</f>
        <v>170430.3</v>
      </c>
      <c r="G123" s="1473">
        <f>'пеня 2023'!AB396+'пеня 2023'!AE396-'пеня 2023'!AE396-'пеня 2023'!W396</f>
        <v>58977.939999999995</v>
      </c>
    </row>
    <row r="124" spans="1:7" ht="25.5">
      <c r="A124" s="557" t="s">
        <v>16</v>
      </c>
      <c r="B124" s="1428">
        <f>'пеня 2023'!AB301</f>
        <v>984.9</v>
      </c>
      <c r="C124" s="1349">
        <f>'пеня 2023'!AE301</f>
        <v>29545.269999999997</v>
      </c>
      <c r="D124" s="1459">
        <f>'пеня 2023'!Z334</f>
        <v>34864.26</v>
      </c>
      <c r="E124" s="1471">
        <f>'пеня 2023'!Z365</f>
        <v>31210.44</v>
      </c>
      <c r="F124" s="575">
        <f>B124+C124+D124+E124+G124</f>
        <v>97574.9</v>
      </c>
      <c r="G124" s="1473">
        <f>'пеня 2023'!AB397+'пеня 2023'!AE397-'пеня 2023'!AE397-'пеня 2023'!W397</f>
        <v>970.0300000000029</v>
      </c>
    </row>
    <row r="125" spans="1:7" ht="25.5">
      <c r="A125" s="558" t="s">
        <v>17</v>
      </c>
      <c r="B125" s="1428">
        <f>'пеня 2023'!AB302</f>
        <v>6517.379999999999</v>
      </c>
      <c r="C125" s="1349">
        <f>'пеня 2023'!AE302</f>
        <v>35895.43</v>
      </c>
      <c r="D125" s="1459">
        <f>'пеня 2023'!Z335</f>
        <v>40153.600000000006</v>
      </c>
      <c r="E125" s="1471">
        <f>'пеня 2023'!Z366</f>
        <v>40434.33</v>
      </c>
      <c r="F125" s="575">
        <f aca="true" t="shared" si="4" ref="F125:F133">B125+C125+D125+E125+G125</f>
        <v>132906.53</v>
      </c>
      <c r="G125" s="1473">
        <f>'пеня 2023'!AB398+'пеня 2023'!AE398-'пеня 2023'!AE398-'пеня 2023'!W398</f>
        <v>9905.790000000005</v>
      </c>
    </row>
    <row r="126" spans="1:7" ht="25.5">
      <c r="A126" s="559" t="s">
        <v>18</v>
      </c>
      <c r="B126" s="1428">
        <f>'пеня 2023'!AB303</f>
        <v>9034.970000000001</v>
      </c>
      <c r="C126" s="1349">
        <f>'пеня 2023'!AE303</f>
        <v>88935.67</v>
      </c>
      <c r="D126" s="1459">
        <f>'пеня 2023'!Z336</f>
        <v>94101.92</v>
      </c>
      <c r="E126" s="1471">
        <f>'пеня 2023'!Z367</f>
        <v>86435.32</v>
      </c>
      <c r="F126" s="575">
        <f t="shared" si="4"/>
        <v>284523.18</v>
      </c>
      <c r="G126" s="1473">
        <f>'пеня 2023'!AB399+'пеня 2023'!AE399-'пеня 2023'!AE399-'пеня 2023'!W399</f>
        <v>6015.299999999996</v>
      </c>
    </row>
    <row r="127" spans="1:7" ht="25.5">
      <c r="A127" s="560" t="s">
        <v>54</v>
      </c>
      <c r="B127" s="1428">
        <f>'пеня 2023'!AB304</f>
        <v>3862.64</v>
      </c>
      <c r="C127" s="1349">
        <f>'пеня 2023'!AE304</f>
        <v>37949.46</v>
      </c>
      <c r="D127" s="1459">
        <f>'пеня 2023'!Z337</f>
        <v>37979.149999999994</v>
      </c>
      <c r="E127" s="1471">
        <f>'пеня 2023'!Z368</f>
        <v>37164.28</v>
      </c>
      <c r="F127" s="575">
        <f t="shared" si="4"/>
        <v>122949.42</v>
      </c>
      <c r="G127" s="1473">
        <f>'пеня 2023'!AB400+'пеня 2023'!AE400-'пеня 2023'!AE400-'пеня 2023'!W400</f>
        <v>5993.8899999999985</v>
      </c>
    </row>
    <row r="128" spans="1:7" ht="25.5">
      <c r="A128" s="560" t="s">
        <v>49</v>
      </c>
      <c r="B128" s="1428">
        <f>'пеня 2023'!AB305</f>
        <v>18265.230000000003</v>
      </c>
      <c r="C128" s="1349">
        <f>'пеня 2023'!AE305</f>
        <v>79878.01</v>
      </c>
      <c r="D128" s="1459">
        <f>'пеня 2023'!Z338</f>
        <v>77749.82</v>
      </c>
      <c r="E128" s="1471">
        <f>'пеня 2023'!Z369</f>
        <v>83230.29</v>
      </c>
      <c r="F128" s="575">
        <f t="shared" si="4"/>
        <v>287821.5</v>
      </c>
      <c r="G128" s="1473">
        <f>'пеня 2023'!AB401+'пеня 2023'!AE401-'пеня 2023'!AE401-'пеня 2023'!W401</f>
        <v>28698.150000000005</v>
      </c>
    </row>
    <row r="129" spans="1:7" ht="25.5">
      <c r="A129" s="560" t="s">
        <v>19</v>
      </c>
      <c r="B129" s="1428">
        <f>'пеня 2023'!AB306</f>
        <v>8227.68</v>
      </c>
      <c r="C129" s="1349">
        <f>'пеня 2023'!AE306</f>
        <v>53233.09</v>
      </c>
      <c r="D129" s="1459">
        <f>'пеня 2023'!Z339</f>
        <v>59619.54</v>
      </c>
      <c r="E129" s="1471">
        <f>'пеня 2023'!Z370</f>
        <v>59873.01</v>
      </c>
      <c r="F129" s="575">
        <f t="shared" si="4"/>
        <v>191745.87000000002</v>
      </c>
      <c r="G129" s="1473">
        <f>'пеня 2023'!AB402+'пеня 2023'!AE402-'пеня 2023'!AE402-'пеня 2023'!W402</f>
        <v>10792.550000000005</v>
      </c>
    </row>
    <row r="130" spans="1:7" ht="25.5">
      <c r="A130" s="574" t="s">
        <v>20</v>
      </c>
      <c r="B130" s="1428">
        <f>'пеня 2023'!AB307</f>
        <v>3109.6</v>
      </c>
      <c r="C130" s="1349">
        <f>'пеня 2023'!AE307</f>
        <v>38659.77</v>
      </c>
      <c r="D130" s="1459">
        <f>'пеня 2023'!Z340</f>
        <v>37075.81</v>
      </c>
      <c r="E130" s="1471">
        <f>'пеня 2023'!Z371</f>
        <v>38981.06</v>
      </c>
      <c r="F130" s="575">
        <f t="shared" si="4"/>
        <v>119360.61999999998</v>
      </c>
      <c r="G130" s="1473">
        <f>'пеня 2023'!AB403+'пеня 2023'!AE403-'пеня 2023'!AE403-'пеня 2023'!W403</f>
        <v>1534.3799999999972</v>
      </c>
    </row>
    <row r="131" spans="1:7" ht="25.5">
      <c r="A131" s="574" t="s">
        <v>114</v>
      </c>
      <c r="B131" s="1428">
        <f>'пеня 2023'!AB308</f>
        <v>5594.4</v>
      </c>
      <c r="C131" s="1349">
        <f>'пеня 2023'!AE308</f>
        <v>45946.6</v>
      </c>
      <c r="D131" s="1459">
        <f>'пеня 2023'!Z341</f>
        <v>52344.81</v>
      </c>
      <c r="E131" s="1471">
        <f>'пеня 2023'!Z372</f>
        <v>51068.09</v>
      </c>
      <c r="F131" s="575">
        <f t="shared" si="4"/>
        <v>162777.97</v>
      </c>
      <c r="G131" s="1473">
        <f>'пеня 2023'!AB404+'пеня 2023'!AE404-'пеня 2023'!AE404-'пеня 2023'!W404</f>
        <v>7824.069999999997</v>
      </c>
    </row>
    <row r="132" spans="1:7" ht="25.5">
      <c r="A132" s="574" t="s">
        <v>150</v>
      </c>
      <c r="B132" s="1428">
        <f>'пеня 2023'!AB309</f>
        <v>0</v>
      </c>
      <c r="C132" s="1349">
        <f>'пеня 2023'!AE309</f>
        <v>16941.83</v>
      </c>
      <c r="D132" s="1459">
        <f>'пеня 2023'!Z342</f>
        <v>17309.93</v>
      </c>
      <c r="E132" s="1471">
        <f>'пеня 2023'!Z373</f>
        <v>17730.149999999998</v>
      </c>
      <c r="F132" s="575">
        <f t="shared" si="4"/>
        <v>51891.04</v>
      </c>
      <c r="G132" s="1473">
        <f>'пеня 2023'!AB405+'пеня 2023'!AE405-'пеня 2023'!AE405-'пеня 2023'!W405</f>
        <v>-90.87</v>
      </c>
    </row>
    <row r="133" spans="1:11" ht="26.25">
      <c r="A133" s="560" t="s">
        <v>192</v>
      </c>
      <c r="B133" s="1428">
        <f>'пеня 2023'!AB310</f>
        <v>11522.25</v>
      </c>
      <c r="C133" s="1349">
        <f>'пеня 2023'!AE310</f>
        <v>41103.79</v>
      </c>
      <c r="D133" s="1459">
        <f>'пеня 2023'!Z343</f>
        <v>48106.490000000005</v>
      </c>
      <c r="E133" s="1471">
        <f>'пеня 2023'!Z374</f>
        <v>43787.48</v>
      </c>
      <c r="F133" s="575">
        <f t="shared" si="4"/>
        <v>157195.84</v>
      </c>
      <c r="G133" s="1473">
        <f>'пеня 2023'!AB406+'пеня 2023'!AE406-'пеня 2023'!AE406-'пеня 2023'!W406</f>
        <v>12675.83</v>
      </c>
      <c r="H133" s="548"/>
      <c r="I133" s="1544"/>
      <c r="J133" s="1544"/>
      <c r="K133" s="11"/>
    </row>
    <row r="134" spans="1:11" ht="26.25">
      <c r="A134" s="574" t="s">
        <v>193</v>
      </c>
      <c r="B134" s="1428">
        <f>'пеня 2023'!AB311</f>
        <v>22828.29</v>
      </c>
      <c r="C134" s="1349">
        <f>'пеня 2023'!AE311</f>
        <v>53893.62</v>
      </c>
      <c r="D134" s="1459">
        <f>'пеня 2023'!Z344</f>
        <v>49839.26</v>
      </c>
      <c r="E134" s="1471">
        <f>'пеня 2023'!Z375</f>
        <v>50163.46</v>
      </c>
      <c r="F134" s="575">
        <f>B134+C134+D134+E134+G134</f>
        <v>224341.5</v>
      </c>
      <c r="G134" s="1473">
        <f>'пеня 2023'!AB407+'пеня 2023'!AE407-'пеня 2023'!AE407-'пеня 2023'!W407</f>
        <v>47616.87</v>
      </c>
      <c r="H134" s="548"/>
      <c r="I134" s="1207"/>
      <c r="J134" s="1207"/>
      <c r="K134" s="11"/>
    </row>
    <row r="135" spans="1:11" ht="26.25">
      <c r="A135" s="574" t="s">
        <v>217</v>
      </c>
      <c r="B135" s="1428">
        <f>'пеня 2023'!AB312</f>
        <v>2174.33</v>
      </c>
      <c r="C135" s="1349">
        <f>'пеня 2023'!AE312</f>
        <v>45239.76</v>
      </c>
      <c r="D135" s="1459">
        <f>'пеня 2023'!Z345</f>
        <v>47282.48</v>
      </c>
      <c r="E135" s="1471">
        <f>'пеня 2023'!Z376</f>
        <v>43703.380000000005</v>
      </c>
      <c r="F135" s="575">
        <f>B135+C135+D135+E135+G135</f>
        <v>140534.03000000003</v>
      </c>
      <c r="G135" s="1473">
        <f>'пеня 2023'!AB408+'пеня 2023'!AE408-'пеня 2023'!AE408-'пеня 2023'!W408</f>
        <v>2134.0800000000017</v>
      </c>
      <c r="H135" s="548"/>
      <c r="I135" s="1207"/>
      <c r="J135" s="1207"/>
      <c r="K135" s="11"/>
    </row>
    <row r="136" spans="1:11" ht="26.25">
      <c r="A136" s="574" t="s">
        <v>239</v>
      </c>
      <c r="B136" s="1428">
        <f>'пеня 2023'!AB313</f>
        <v>0</v>
      </c>
      <c r="C136" s="1349">
        <f>'пеня 2023'!AE313</f>
        <v>18676.300000000003</v>
      </c>
      <c r="D136" s="1459">
        <f>'пеня 2023'!Z346</f>
        <v>22243.92</v>
      </c>
      <c r="E136" s="1471">
        <f>'пеня 2023'!Z377</f>
        <v>16634.780000000002</v>
      </c>
      <c r="F136" s="575">
        <f>B136+C136+D136+E136+G136</f>
        <v>57536.53</v>
      </c>
      <c r="G136" s="1473">
        <f>'пеня 2023'!AB409+'пеня 2023'!AE409-'пеня 2023'!AE409-'пеня 2023'!W409</f>
        <v>-18.47</v>
      </c>
      <c r="H136" s="548"/>
      <c r="I136" s="1207"/>
      <c r="J136" s="1207"/>
      <c r="K136" s="11"/>
    </row>
    <row r="137" spans="1:11" ht="26.25">
      <c r="A137" s="574" t="s">
        <v>306</v>
      </c>
      <c r="B137" s="1428">
        <f>'пеня 2023'!AB314</f>
        <v>5667.2699999999995</v>
      </c>
      <c r="C137" s="1349">
        <f>'пеня 2023'!AE314</f>
        <v>80484.77</v>
      </c>
      <c r="D137" s="1459">
        <f>'пеня 2023'!Z347</f>
        <v>58270.189999999995</v>
      </c>
      <c r="E137" s="1471">
        <f>'пеня 2023'!Z378</f>
        <v>68263.17</v>
      </c>
      <c r="F137" s="575">
        <f>B137+C137+D137+E137+G137</f>
        <v>214210.50000000003</v>
      </c>
      <c r="G137" s="1473">
        <f>'пеня 2023'!AB410+'пеня 2023'!AE410-'пеня 2023'!AE410-'пеня 2023'!W410</f>
        <v>1525.100000000004</v>
      </c>
      <c r="H137" s="548"/>
      <c r="I137" s="1207"/>
      <c r="J137" s="1207"/>
      <c r="K137" s="11"/>
    </row>
    <row r="138" spans="1:11" ht="26.25">
      <c r="A138" s="574" t="s">
        <v>317</v>
      </c>
      <c r="B138" s="1428">
        <f>'пеня 2023'!AB315</f>
        <v>17349.78</v>
      </c>
      <c r="C138" s="1349">
        <f>'пеня 2023'!AE315</f>
        <v>77646.3</v>
      </c>
      <c r="D138" s="1459">
        <f>'пеня 2023'!Z348</f>
        <v>97843</v>
      </c>
      <c r="E138" s="1471">
        <f>'пеня 2023'!Z379</f>
        <v>70403.83</v>
      </c>
      <c r="F138" s="575">
        <f>B138+C138+D138+E138+G138</f>
        <v>273990.07</v>
      </c>
      <c r="G138" s="1473">
        <f>'пеня 2023'!AB411+'пеня 2023'!AE411-'пеня 2023'!AE411-'пеня 2023'!W411</f>
        <v>10747.159999999993</v>
      </c>
      <c r="H138" s="548"/>
      <c r="I138" s="1207"/>
      <c r="J138" s="1207"/>
      <c r="K138" s="11"/>
    </row>
    <row r="139" spans="1:7" ht="23.25">
      <c r="A139" s="1423" t="s">
        <v>88</v>
      </c>
      <c r="B139" s="1424">
        <f aca="true" t="shared" si="5" ref="B139:G139">SUM(B112:B138)</f>
        <v>232536.97</v>
      </c>
      <c r="C139" s="1424">
        <f t="shared" si="5"/>
        <v>1082361.6</v>
      </c>
      <c r="D139" s="1425">
        <f t="shared" si="5"/>
        <v>1103644.87</v>
      </c>
      <c r="E139" s="1426">
        <f t="shared" si="5"/>
        <v>1072092.09</v>
      </c>
      <c r="F139" s="1427">
        <f t="shared" si="5"/>
        <v>3837158.9899999993</v>
      </c>
      <c r="G139" s="1424">
        <f t="shared" si="5"/>
        <v>346523.46</v>
      </c>
    </row>
  </sheetData>
  <sheetProtection/>
  <mergeCells count="85">
    <mergeCell ref="I133:J133"/>
    <mergeCell ref="I98:J98"/>
    <mergeCell ref="E108:L108"/>
    <mergeCell ref="A109:G109"/>
    <mergeCell ref="A110:A111"/>
    <mergeCell ref="B110:B111"/>
    <mergeCell ref="C110:C111"/>
    <mergeCell ref="D110:D111"/>
    <mergeCell ref="E110:E111"/>
    <mergeCell ref="F110:F111"/>
    <mergeCell ref="G110:G111"/>
    <mergeCell ref="E73:L73"/>
    <mergeCell ref="A74:G74"/>
    <mergeCell ref="A75:A76"/>
    <mergeCell ref="B75:B76"/>
    <mergeCell ref="C75:C76"/>
    <mergeCell ref="D75:D76"/>
    <mergeCell ref="E75:E76"/>
    <mergeCell ref="F75:F76"/>
    <mergeCell ref="G75:G76"/>
    <mergeCell ref="I53:J53"/>
    <mergeCell ref="I54:J54"/>
    <mergeCell ref="I55:J55"/>
    <mergeCell ref="I58:J58"/>
    <mergeCell ref="I64:J64"/>
    <mergeCell ref="I65:J65"/>
    <mergeCell ref="I47:J47"/>
    <mergeCell ref="I48:J48"/>
    <mergeCell ref="I49:J49"/>
    <mergeCell ref="I50:J50"/>
    <mergeCell ref="I51:J51"/>
    <mergeCell ref="I52:J52"/>
    <mergeCell ref="I41:J41"/>
    <mergeCell ref="I42:J42"/>
    <mergeCell ref="I43:J43"/>
    <mergeCell ref="I44:J44"/>
    <mergeCell ref="I45:J45"/>
    <mergeCell ref="I46:J46"/>
    <mergeCell ref="G35:G36"/>
    <mergeCell ref="H35:H36"/>
    <mergeCell ref="I35:J36"/>
    <mergeCell ref="I37:J37"/>
    <mergeCell ref="I38:J38"/>
    <mergeCell ref="I40:J40"/>
    <mergeCell ref="A35:A36"/>
    <mergeCell ref="B35:B36"/>
    <mergeCell ref="C35:C36"/>
    <mergeCell ref="D35:D36"/>
    <mergeCell ref="E35:E36"/>
    <mergeCell ref="F35:F36"/>
    <mergeCell ref="I22:J22"/>
    <mergeCell ref="I25:J25"/>
    <mergeCell ref="I26:J26"/>
    <mergeCell ref="A33:G33"/>
    <mergeCell ref="I33:J33"/>
    <mergeCell ref="A34:G34"/>
    <mergeCell ref="I34:J34"/>
    <mergeCell ref="I16:J16"/>
    <mergeCell ref="I17:J17"/>
    <mergeCell ref="I18:J18"/>
    <mergeCell ref="I19:J19"/>
    <mergeCell ref="I20:J20"/>
    <mergeCell ref="I21:J21"/>
    <mergeCell ref="I10:J10"/>
    <mergeCell ref="I11:J11"/>
    <mergeCell ref="I12:J12"/>
    <mergeCell ref="I13:J13"/>
    <mergeCell ref="I14:J14"/>
    <mergeCell ref="I15:J15"/>
    <mergeCell ref="I2:J3"/>
    <mergeCell ref="I4:J4"/>
    <mergeCell ref="I5:J5"/>
    <mergeCell ref="I7:J7"/>
    <mergeCell ref="I8:J8"/>
    <mergeCell ref="I9:J9"/>
    <mergeCell ref="A1:G1"/>
    <mergeCell ref="I1:J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11811023622047245" right="0.11811023622047245" top="0" bottom="0" header="0" footer="0"/>
  <pageSetup fitToHeight="1" fitToWidth="1" horizontalDpi="600" verticalDpi="600" orientation="portrait" paperSize="9" scale="2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17"/>
  <sheetViews>
    <sheetView zoomScale="78" zoomScaleNormal="78" zoomScalePageLayoutView="0" workbookViewId="0" topLeftCell="I43">
      <selection activeCell="S61" sqref="S61"/>
    </sheetView>
  </sheetViews>
  <sheetFormatPr defaultColWidth="9.140625" defaultRowHeight="15"/>
  <cols>
    <col min="1" max="1" width="17.28125" style="0" customWidth="1"/>
    <col min="2" max="2" width="15.28125" style="0" customWidth="1"/>
    <col min="3" max="3" width="14.421875" style="0" customWidth="1"/>
    <col min="4" max="4" width="13.7109375" style="0" customWidth="1"/>
    <col min="5" max="5" width="13.421875" style="0" customWidth="1"/>
    <col min="6" max="6" width="13.57421875" style="0" customWidth="1"/>
    <col min="7" max="7" width="13.7109375" style="0" customWidth="1"/>
    <col min="8" max="8" width="13.28125" style="0" customWidth="1"/>
    <col min="9" max="9" width="13.140625" style="0" customWidth="1"/>
    <col min="10" max="10" width="13.57421875" style="0" customWidth="1"/>
    <col min="11" max="11" width="12.7109375" style="0" customWidth="1"/>
    <col min="12" max="12" width="13.421875" style="0" customWidth="1"/>
    <col min="13" max="14" width="12.57421875" style="0" customWidth="1"/>
    <col min="15" max="15" width="14.00390625" style="0" customWidth="1"/>
    <col min="16" max="16" width="12.57421875" style="0" customWidth="1"/>
    <col min="17" max="17" width="14.421875" style="0" customWidth="1"/>
    <col min="18" max="18" width="14.57421875" style="0" customWidth="1"/>
    <col min="19" max="19" width="17.00390625" style="0" customWidth="1"/>
    <col min="20" max="20" width="16.140625" style="0" customWidth="1"/>
    <col min="21" max="21" width="17.00390625" style="0" customWidth="1"/>
    <col min="22" max="22" width="14.7109375" style="0" customWidth="1"/>
    <col min="23" max="23" width="16.00390625" style="0" customWidth="1"/>
    <col min="24" max="24" width="15.7109375" style="0" customWidth="1"/>
    <col min="25" max="25" width="13.00390625" style="0" customWidth="1"/>
    <col min="26" max="26" width="14.7109375" style="0" customWidth="1"/>
    <col min="27" max="27" width="18.140625" style="0" customWidth="1"/>
    <col min="28" max="28" width="12.421875" style="0" customWidth="1"/>
    <col min="29" max="29" width="12.57421875" style="0" customWidth="1"/>
    <col min="30" max="30" width="17.57421875" style="0" customWidth="1"/>
  </cols>
  <sheetData>
    <row r="1" spans="2:10" ht="15">
      <c r="B1" s="4" t="s">
        <v>413</v>
      </c>
      <c r="C1" s="1"/>
      <c r="D1" s="1"/>
      <c r="J1" s="45" t="s">
        <v>52</v>
      </c>
    </row>
    <row r="2" spans="3:9" ht="23.25">
      <c r="C2" s="1691" t="s">
        <v>24</v>
      </c>
      <c r="D2" s="1691"/>
      <c r="E2" s="1691"/>
      <c r="G2" s="227"/>
      <c r="H2" s="228" t="s">
        <v>93</v>
      </c>
      <c r="I2" s="228"/>
    </row>
    <row r="3" spans="3:9" ht="15">
      <c r="C3" s="14"/>
      <c r="D3" s="14"/>
      <c r="E3" s="14"/>
      <c r="I3" t="s">
        <v>412</v>
      </c>
    </row>
    <row r="4" spans="1:26" ht="15">
      <c r="A4" s="13" t="s">
        <v>1</v>
      </c>
      <c r="B4" s="1696" t="s">
        <v>486</v>
      </c>
      <c r="C4" s="1697"/>
      <c r="D4" s="1698"/>
      <c r="E4" s="1692" t="s">
        <v>28</v>
      </c>
      <c r="F4" s="1693"/>
      <c r="G4" s="1694" t="s">
        <v>29</v>
      </c>
      <c r="H4" s="1695"/>
      <c r="I4" s="1682" t="s">
        <v>30</v>
      </c>
      <c r="J4" s="1701"/>
      <c r="K4" s="1684" t="s">
        <v>31</v>
      </c>
      <c r="L4" s="1700"/>
      <c r="M4" s="1734" t="s">
        <v>32</v>
      </c>
      <c r="N4" s="1736"/>
      <c r="O4" s="1686" t="s">
        <v>38</v>
      </c>
      <c r="P4" s="1687"/>
      <c r="Q4" s="1703" t="s">
        <v>436</v>
      </c>
      <c r="R4" s="1704"/>
      <c r="S4" s="1705"/>
      <c r="T4" s="1679" t="s">
        <v>437</v>
      </c>
      <c r="U4" s="1680"/>
      <c r="V4" s="1680"/>
      <c r="W4" s="1680"/>
      <c r="X4" s="1681"/>
      <c r="Z4" s="225"/>
    </row>
    <row r="5" spans="1:29" ht="33" customHeight="1">
      <c r="A5" s="15"/>
      <c r="B5" s="338" t="s">
        <v>5</v>
      </c>
      <c r="C5" s="338" t="s">
        <v>6</v>
      </c>
      <c r="D5" s="339" t="s">
        <v>35</v>
      </c>
      <c r="E5" s="18" t="s">
        <v>33</v>
      </c>
      <c r="F5" s="19" t="s">
        <v>6</v>
      </c>
      <c r="G5" s="21" t="s">
        <v>33</v>
      </c>
      <c r="H5" s="22" t="s">
        <v>6</v>
      </c>
      <c r="I5" s="23" t="s">
        <v>33</v>
      </c>
      <c r="J5" s="24" t="s">
        <v>6</v>
      </c>
      <c r="K5" s="18" t="s">
        <v>33</v>
      </c>
      <c r="L5" s="19" t="s">
        <v>6</v>
      </c>
      <c r="M5" s="1480" t="s">
        <v>33</v>
      </c>
      <c r="N5" s="1481" t="s">
        <v>6</v>
      </c>
      <c r="O5" s="25" t="s">
        <v>33</v>
      </c>
      <c r="P5" s="33" t="s">
        <v>6</v>
      </c>
      <c r="Q5" s="1402" t="s">
        <v>36</v>
      </c>
      <c r="R5" s="222" t="s">
        <v>26</v>
      </c>
      <c r="S5" s="31" t="s">
        <v>85</v>
      </c>
      <c r="T5" s="26" t="s">
        <v>33</v>
      </c>
      <c r="U5" s="22" t="s">
        <v>6</v>
      </c>
      <c r="V5" s="226" t="s">
        <v>86</v>
      </c>
      <c r="W5" s="37" t="s">
        <v>39</v>
      </c>
      <c r="X5" s="38" t="s">
        <v>87</v>
      </c>
      <c r="AB5" s="58"/>
      <c r="AC5" s="45"/>
    </row>
    <row r="6" spans="1:24" ht="24.75" customHeight="1">
      <c r="A6" s="46" t="s">
        <v>47</v>
      </c>
      <c r="B6" s="338">
        <v>1824987.51</v>
      </c>
      <c r="C6" s="340">
        <v>1793986.5800000008</v>
      </c>
      <c r="D6" s="341">
        <v>31000.929999999236</v>
      </c>
      <c r="E6" s="502">
        <f>'пеня 2023'!C38+'пеня 2023'!I38+'пеня 2023'!M38+'пеня 2023'!Q38</f>
        <v>21269.13</v>
      </c>
      <c r="F6" s="503">
        <f>'пеня 2023'!F38+'пеня 2023'!J38+'пеня 2023'!N38+'пеня 2023'!S38</f>
        <v>15717.679999999998</v>
      </c>
      <c r="G6" s="502">
        <f>'пеня 2023'!C69+'пеня 2023'!H69+'пеня 2023'!L69+'пеня 2023'!P69</f>
        <v>21757.91</v>
      </c>
      <c r="H6" s="27">
        <f>'пеня 2023'!D69+'пеня 2023'!I69+'пеня 2023'!M69+'пеня 2023'!R69</f>
        <v>15253.69</v>
      </c>
      <c r="I6" s="28">
        <f>'пеня 2023'!C100+'пеня 2023'!H100+'пеня 2023'!L100+'пеня 2023'!P100</f>
        <v>21528.680000000004</v>
      </c>
      <c r="J6" s="29">
        <f>'пеня 2023'!D100+'пеня 2023'!I100+'пеня 2023'!M100+'пеня 2023'!R100</f>
        <v>25223.07</v>
      </c>
      <c r="K6" s="3">
        <f>'пеня 2023'!C131+'пеня 2023'!H131+'пеня 2023'!L131+'пеня 2023'!P131</f>
        <v>21469.33</v>
      </c>
      <c r="L6" s="20">
        <f>'пеня 2023'!D131+'пеня 2023'!I131+'пеня 2023'!M131+'пеня 2023'!R131</f>
        <v>14722.810000000001</v>
      </c>
      <c r="M6" s="1474">
        <f>'пеня 2023'!C162+'пеня 2023'!H162+'пеня 2023'!L162+'пеня 2023'!P162</f>
        <v>21301.920000000002</v>
      </c>
      <c r="N6" s="1475">
        <f>'пеня 2023'!D162+'пеня 2023'!I162+'пеня 2023'!M162+'пеня 2023'!R162</f>
        <v>25686.110000000004</v>
      </c>
      <c r="O6" s="7">
        <f>'пеня 2023'!C193+'пеня 2023'!H193+'пеня 2023'!L193+'пеня 2023'!P193</f>
        <v>21330.43</v>
      </c>
      <c r="P6" s="35">
        <f>'пеня 2023'!D193+'пеня 2023'!I193+'пеня 2023'!M193+'пеня 2023'!R193</f>
        <v>15835.02</v>
      </c>
      <c r="Q6" s="1403">
        <f>E6+G6+I6+K6+M6+O6</f>
        <v>128657.4</v>
      </c>
      <c r="R6" s="223">
        <f>F6+H6+J6+L6+N6+P6</f>
        <v>112438.38</v>
      </c>
      <c r="S6" s="32">
        <f>E6+G6+I6+K6+M6+O6-F6-H6-J6-L6-N6-P6</f>
        <v>16219.01999999999</v>
      </c>
      <c r="T6" s="10">
        <f>B6+E6+G6+I6+K6+M6+O6</f>
        <v>1953644.9099999997</v>
      </c>
      <c r="U6" s="43">
        <f>C6+F6+H6+J6+L6+N6+P6</f>
        <v>1906424.960000001</v>
      </c>
      <c r="V6" s="10">
        <f>T6-U6</f>
        <v>47219.94999999879</v>
      </c>
      <c r="W6" s="256"/>
      <c r="X6" s="3"/>
    </row>
    <row r="7" spans="1:24" ht="15">
      <c r="A7" s="46" t="s">
        <v>53</v>
      </c>
      <c r="B7" s="338">
        <v>3351319.2200000007</v>
      </c>
      <c r="C7" s="340">
        <v>2958687.63</v>
      </c>
      <c r="D7" s="341">
        <v>392631.5900000008</v>
      </c>
      <c r="E7" s="502">
        <f>'пеня 2023'!C39+'пеня 2023'!I39+'пеня 2023'!M39+'пеня 2023'!Q39</f>
        <v>34261.090000000004</v>
      </c>
      <c r="F7" s="503">
        <f>'пеня 2023'!F39+'пеня 2023'!J39+'пеня 2023'!N39+'пеня 2023'!S39</f>
        <v>25126.03</v>
      </c>
      <c r="G7" s="502">
        <f>'пеня 2023'!C70+'пеня 2023'!H70+'пеня 2023'!L70+'пеня 2023'!P70</f>
        <v>34319.79</v>
      </c>
      <c r="H7" s="27">
        <f>'пеня 2023'!D70+'пеня 2023'!I70+'пеня 2023'!M70+'пеня 2023'!R70</f>
        <v>29027.55</v>
      </c>
      <c r="I7" s="28">
        <f>'пеня 2023'!C101+'пеня 2023'!H101+'пеня 2023'!L101+'пеня 2023'!P101</f>
        <v>34314.82</v>
      </c>
      <c r="J7" s="29">
        <f>'пеня 2023'!D101+'пеня 2023'!I101+'пеня 2023'!M101+'пеня 2023'!R101</f>
        <v>32521.54</v>
      </c>
      <c r="K7" s="3">
        <f>'пеня 2023'!C132+'пеня 2023'!H132+'пеня 2023'!L132+'пеня 2023'!P132</f>
        <v>34357.770000000004</v>
      </c>
      <c r="L7" s="20">
        <f>'пеня 2023'!D132+'пеня 2023'!I132+'пеня 2023'!M132+'пеня 2023'!R132</f>
        <v>36826.95</v>
      </c>
      <c r="M7" s="1474">
        <f>'пеня 2023'!C163+'пеня 2023'!H163+'пеня 2023'!L163+'пеня 2023'!P163</f>
        <v>34348.590000000004</v>
      </c>
      <c r="N7" s="1475">
        <f>'пеня 2023'!D163+'пеня 2023'!I163+'пеня 2023'!M163+'пеня 2023'!R163</f>
        <v>32712.8</v>
      </c>
      <c r="O7" s="7">
        <f>'пеня 2023'!C194+'пеня 2023'!H194+'пеня 2023'!L194+'пеня 2023'!P194</f>
        <v>34358.91</v>
      </c>
      <c r="P7" s="35">
        <f>'пеня 2023'!D194+'пеня 2023'!I194+'пеня 2023'!M194+'пеня 2023'!R194</f>
        <v>31271.09</v>
      </c>
      <c r="Q7" s="1403">
        <f aca="true" t="shared" si="0" ref="Q7:Q32">E7+G7+I7+K7+M7+O7</f>
        <v>205960.97000000003</v>
      </c>
      <c r="R7" s="223">
        <f aca="true" t="shared" si="1" ref="R7:R32">F7+H7+J7+L7+N7+P7</f>
        <v>187485.96</v>
      </c>
      <c r="S7" s="32">
        <f aca="true" t="shared" si="2" ref="S7:S32">E7+G7+I7+K7+M7+O7-F7-H7-J7-L7-N7-P7</f>
        <v>18475.010000000035</v>
      </c>
      <c r="T7" s="10">
        <f aca="true" t="shared" si="3" ref="T7:U31">B7+E7+G7+I7+K7+M7+O7</f>
        <v>3557280.1900000004</v>
      </c>
      <c r="U7" s="43">
        <f t="shared" si="3"/>
        <v>3146173.5899999994</v>
      </c>
      <c r="V7" s="10">
        <f aca="true" t="shared" si="4" ref="V7:V33">T7-U7</f>
        <v>411106.600000001</v>
      </c>
      <c r="W7" s="256"/>
      <c r="X7" s="3"/>
    </row>
    <row r="8" spans="1:25" ht="15">
      <c r="A8" s="46" t="s">
        <v>8</v>
      </c>
      <c r="B8" s="340">
        <v>1574413.77</v>
      </c>
      <c r="C8" s="340">
        <v>1506126.7</v>
      </c>
      <c r="D8" s="341">
        <v>68287.07000000007</v>
      </c>
      <c r="E8" s="502">
        <f>'пеня 2023'!C40+'пеня 2023'!I40+'пеня 2023'!M40+'пеня 2023'!Q40</f>
        <v>0</v>
      </c>
      <c r="F8" s="503">
        <f>'пеня 2023'!F40+'пеня 2023'!J40+'пеня 2023'!N40+'пеня 2023'!S40</f>
        <v>0</v>
      </c>
      <c r="G8" s="502">
        <f>'пеня 2023'!C71+'пеня 2023'!H71+'пеня 2023'!L71+'пеня 2023'!P71</f>
        <v>0</v>
      </c>
      <c r="H8" s="27">
        <f>'пеня 2023'!D71+'пеня 2023'!I71+'пеня 2023'!M71+'пеня 2023'!R71</f>
        <v>0</v>
      </c>
      <c r="I8" s="28">
        <f>'пеня 2023'!C102+'пеня 2023'!H102+'пеня 2023'!L102+'пеня 2023'!P102</f>
        <v>0</v>
      </c>
      <c r="J8" s="29">
        <f>'пеня 2023'!D102+'пеня 2023'!I102+'пеня 2023'!M102+'пеня 2023'!R102</f>
        <v>0</v>
      </c>
      <c r="K8" s="3">
        <f>'пеня 2023'!C133+'пеня 2023'!H133+'пеня 2023'!L133+'пеня 2023'!P133</f>
        <v>0</v>
      </c>
      <c r="L8" s="20">
        <f>'пеня 2023'!D133+'пеня 2023'!I133+'пеня 2023'!M133+'пеня 2023'!R133</f>
        <v>0</v>
      </c>
      <c r="M8" s="1474">
        <f>'пеня 2023'!C164+'пеня 2023'!H164+'пеня 2023'!L164+'пеня 2023'!P164</f>
        <v>0</v>
      </c>
      <c r="N8" s="1475">
        <f>'пеня 2023'!D164+'пеня 2023'!I164+'пеня 2023'!M164+'пеня 2023'!R164</f>
        <v>0</v>
      </c>
      <c r="O8" s="7">
        <f>'пеня 2023'!C195+'пеня 2023'!H195+'пеня 2023'!L195+'пеня 2023'!P195</f>
        <v>0</v>
      </c>
      <c r="P8" s="35">
        <f>'пеня 2023'!D195+'пеня 2023'!I195+'пеня 2023'!M195+'пеня 2023'!R195</f>
        <v>0</v>
      </c>
      <c r="Q8" s="1403">
        <f t="shared" si="0"/>
        <v>0</v>
      </c>
      <c r="R8" s="223">
        <f t="shared" si="1"/>
        <v>0</v>
      </c>
      <c r="S8" s="32">
        <f t="shared" si="2"/>
        <v>0</v>
      </c>
      <c r="T8" s="10">
        <f t="shared" si="3"/>
        <v>1574413.77</v>
      </c>
      <c r="U8" s="43">
        <f t="shared" si="3"/>
        <v>1506126.7</v>
      </c>
      <c r="V8" s="10">
        <f t="shared" si="4"/>
        <v>68287.07000000007</v>
      </c>
      <c r="W8" s="256"/>
      <c r="X8" s="3"/>
      <c r="Y8" s="39"/>
    </row>
    <row r="9" spans="1:25" ht="15">
      <c r="A9" s="46" t="s">
        <v>48</v>
      </c>
      <c r="B9" s="340">
        <v>8058904.119999998</v>
      </c>
      <c r="C9" s="340">
        <v>7155658.229999999</v>
      </c>
      <c r="D9" s="341">
        <v>903245.8899999997</v>
      </c>
      <c r="E9" s="502">
        <f>'пеня 2023'!C41+'пеня 2023'!I41+'пеня 2023'!M41+'пеня 2023'!Q41</f>
        <v>85052.21999999999</v>
      </c>
      <c r="F9" s="503">
        <f>'пеня 2023'!F41+'пеня 2023'!J41+'пеня 2023'!N41+'пеня 2023'!S41</f>
        <v>67707.89</v>
      </c>
      <c r="G9" s="502">
        <f>'пеня 2023'!C72+'пеня 2023'!H72+'пеня 2023'!L72+'пеня 2023'!P72</f>
        <v>85196.45</v>
      </c>
      <c r="H9" s="27">
        <f>'пеня 2023'!D72+'пеня 2023'!I72+'пеня 2023'!M72+'пеня 2023'!R72</f>
        <v>70280.69</v>
      </c>
      <c r="I9" s="28">
        <f>'пеня 2023'!C103+'пеня 2023'!H103+'пеня 2023'!L103+'пеня 2023'!P103</f>
        <v>85553.56999999999</v>
      </c>
      <c r="J9" s="29">
        <f>'пеня 2023'!D103+'пеня 2023'!I103+'пеня 2023'!M103+'пеня 2023'!R103</f>
        <v>82443.54</v>
      </c>
      <c r="K9" s="3">
        <f>'пеня 2023'!C134+'пеня 2023'!H134+'пеня 2023'!L134+'пеня 2023'!P134</f>
        <v>85289.37</v>
      </c>
      <c r="L9" s="20">
        <f>'пеня 2023'!D134+'пеня 2023'!I134+'пеня 2023'!M134+'пеня 2023'!R134</f>
        <v>76129.15999999999</v>
      </c>
      <c r="M9" s="1474">
        <f>'пеня 2023'!C165+'пеня 2023'!H165+'пеня 2023'!L165+'пеня 2023'!P165</f>
        <v>85453.12</v>
      </c>
      <c r="N9" s="1475">
        <f>'пеня 2023'!D165+'пеня 2023'!I165+'пеня 2023'!M165+'пеня 2023'!R165</f>
        <v>82524.79</v>
      </c>
      <c r="O9" s="7">
        <f>'пеня 2023'!C196+'пеня 2023'!H196+'пеня 2023'!L196+'пеня 2023'!P196</f>
        <v>85270.16</v>
      </c>
      <c r="P9" s="35">
        <f>'пеня 2023'!D196+'пеня 2023'!I196+'пеня 2023'!M196+'пеня 2023'!R196</f>
        <v>88790.18000000001</v>
      </c>
      <c r="Q9" s="1403">
        <f t="shared" si="0"/>
        <v>511814.89</v>
      </c>
      <c r="R9" s="223">
        <f t="shared" si="1"/>
        <v>467876.24999999994</v>
      </c>
      <c r="S9" s="32">
        <f t="shared" si="2"/>
        <v>43938.64000000006</v>
      </c>
      <c r="T9" s="10">
        <f t="shared" si="3"/>
        <v>8570719.009999998</v>
      </c>
      <c r="U9" s="43">
        <f t="shared" si="3"/>
        <v>7623534.479999999</v>
      </c>
      <c r="V9" s="10">
        <f t="shared" si="4"/>
        <v>947184.5299999993</v>
      </c>
      <c r="W9" s="256"/>
      <c r="X9" s="3"/>
      <c r="Y9" s="224"/>
    </row>
    <row r="10" spans="1:24" ht="15">
      <c r="A10" s="13" t="s">
        <v>9</v>
      </c>
      <c r="B10" s="340">
        <v>1957788.5899999994</v>
      </c>
      <c r="C10" s="340">
        <v>1842773.3699999996</v>
      </c>
      <c r="D10" s="341">
        <v>115015.21999999974</v>
      </c>
      <c r="E10" s="502">
        <f>'пеня 2023'!C42+'пеня 2023'!I42+'пеня 2023'!M42+'пеня 2023'!Q42</f>
        <v>21808.750000000004</v>
      </c>
      <c r="F10" s="503">
        <f>'пеня 2023'!F42+'пеня 2023'!J42+'пеня 2023'!N42+'пеня 2023'!S42</f>
        <v>15480.68</v>
      </c>
      <c r="G10" s="502">
        <f>'пеня 2023'!C73+'пеня 2023'!H73+'пеня 2023'!L73+'пеня 2023'!P73</f>
        <v>22062.08</v>
      </c>
      <c r="H10" s="27">
        <f>'пеня 2023'!D73+'пеня 2023'!I73+'пеня 2023'!M73+'пеня 2023'!R73</f>
        <v>17644.539999999997</v>
      </c>
      <c r="I10" s="28">
        <f>'пеня 2023'!C104+'пеня 2023'!H104+'пеня 2023'!L104+'пеня 2023'!P104</f>
        <v>22002.020000000004</v>
      </c>
      <c r="J10" s="29">
        <f>'пеня 2023'!D104+'пеня 2023'!I104+'пеня 2023'!M104+'пеня 2023'!R104</f>
        <v>18491.989999999998</v>
      </c>
      <c r="K10" s="3">
        <f>'пеня 2023'!C135+'пеня 2023'!H135+'пеня 2023'!L135+'пеня 2023'!P135</f>
        <v>22080.480000000003</v>
      </c>
      <c r="L10" s="20">
        <f>'пеня 2023'!D135+'пеня 2023'!I135+'пеня 2023'!M135+'пеня 2023'!R135</f>
        <v>21090.75</v>
      </c>
      <c r="M10" s="1474">
        <f>'пеня 2023'!C166+'пеня 2023'!H166+'пеня 2023'!L166+'пеня 2023'!P166</f>
        <v>21995.770000000004</v>
      </c>
      <c r="N10" s="1475">
        <f>'пеня 2023'!D166+'пеня 2023'!I166+'пеня 2023'!M166+'пеня 2023'!R166</f>
        <v>20167.92</v>
      </c>
      <c r="O10" s="7">
        <f>'пеня 2023'!C197+'пеня 2023'!H197+'пеня 2023'!L197+'пеня 2023'!P197</f>
        <v>22007.740000000005</v>
      </c>
      <c r="P10" s="35">
        <f>'пеня 2023'!D197+'пеня 2023'!I197+'пеня 2023'!M197+'пеня 2023'!R197</f>
        <v>22881.539999999997</v>
      </c>
      <c r="Q10" s="1403">
        <f t="shared" si="0"/>
        <v>131956.84000000003</v>
      </c>
      <c r="R10" s="223">
        <f t="shared" si="1"/>
        <v>115757.41999999998</v>
      </c>
      <c r="S10" s="32">
        <f t="shared" si="2"/>
        <v>16199.420000000038</v>
      </c>
      <c r="T10" s="10">
        <f t="shared" si="3"/>
        <v>2089745.4299999995</v>
      </c>
      <c r="U10" s="43">
        <f t="shared" si="3"/>
        <v>1958530.7899999996</v>
      </c>
      <c r="V10" s="10">
        <f t="shared" si="4"/>
        <v>131214.6399999999</v>
      </c>
      <c r="W10" s="256"/>
      <c r="X10" s="3"/>
    </row>
    <row r="11" spans="1:24" ht="15">
      <c r="A11" s="13" t="s">
        <v>10</v>
      </c>
      <c r="B11" s="340">
        <v>782656.46</v>
      </c>
      <c r="C11" s="340">
        <v>777841.19</v>
      </c>
      <c r="D11" s="341">
        <v>4815.270000000019</v>
      </c>
      <c r="E11" s="502">
        <f>'пеня 2023'!C43+'пеня 2023'!I43+'пеня 2023'!M43+'пеня 2023'!Q43</f>
        <v>8796.01</v>
      </c>
      <c r="F11" s="503">
        <f>'пеня 2023'!F43+'пеня 2023'!J43+'пеня 2023'!N43+'пеня 2023'!S43</f>
        <v>7123.57</v>
      </c>
      <c r="G11" s="502">
        <f>'пеня 2023'!C74+'пеня 2023'!H74+'пеня 2023'!L74+'пеня 2023'!P74</f>
        <v>8796.01</v>
      </c>
      <c r="H11" s="27">
        <f>'пеня 2023'!D74+'пеня 2023'!I74+'пеня 2023'!M74+'пеня 2023'!R74</f>
        <v>7248.32</v>
      </c>
      <c r="I11" s="28">
        <f>'пеня 2023'!C105+'пеня 2023'!H105+'пеня 2023'!L105+'пеня 2023'!P105</f>
        <v>8798.64</v>
      </c>
      <c r="J11" s="29">
        <f>'пеня 2023'!D105+'пеня 2023'!I105+'пеня 2023'!M105+'пеня 2023'!R105</f>
        <v>8905.9</v>
      </c>
      <c r="K11" s="3">
        <f>'пеня 2023'!C136+'пеня 2023'!H136+'пеня 2023'!L136+'пеня 2023'!P136</f>
        <v>8814.43</v>
      </c>
      <c r="L11" s="20">
        <f>'пеня 2023'!D136+'пеня 2023'!I136+'пеня 2023'!M136+'пеня 2023'!R136</f>
        <v>8913.08</v>
      </c>
      <c r="M11" s="1474">
        <f>'пеня 2023'!C167+'пеня 2023'!H167+'пеня 2023'!L167+'пеня 2023'!P167</f>
        <v>8845.45</v>
      </c>
      <c r="N11" s="1475">
        <f>'пеня 2023'!D167+'пеня 2023'!I167+'пеня 2023'!M167+'пеня 2023'!R167</f>
        <v>10255.16</v>
      </c>
      <c r="O11" s="7">
        <f>'пеня 2023'!C198+'пеня 2023'!H198+'пеня 2023'!L198+'пеня 2023'!P198</f>
        <v>8796.73</v>
      </c>
      <c r="P11" s="35">
        <f>'пеня 2023'!D198+'пеня 2023'!I198+'пеня 2023'!M198+'пеня 2023'!R198</f>
        <v>9273.689999999999</v>
      </c>
      <c r="Q11" s="1403">
        <f t="shared" si="0"/>
        <v>52847.26999999999</v>
      </c>
      <c r="R11" s="223">
        <f t="shared" si="1"/>
        <v>51719.72</v>
      </c>
      <c r="S11" s="32">
        <f t="shared" si="2"/>
        <v>1127.5499999999884</v>
      </c>
      <c r="T11" s="10">
        <f t="shared" si="3"/>
        <v>835503.73</v>
      </c>
      <c r="U11" s="43">
        <f t="shared" si="3"/>
        <v>829560.9099999998</v>
      </c>
      <c r="V11" s="10">
        <f t="shared" si="4"/>
        <v>5942.820000000182</v>
      </c>
      <c r="W11" s="256"/>
      <c r="X11" s="3"/>
    </row>
    <row r="12" spans="1:24" ht="15">
      <c r="A12" s="46" t="s">
        <v>11</v>
      </c>
      <c r="B12" s="340">
        <v>779564.07</v>
      </c>
      <c r="C12" s="340">
        <v>763092.8</v>
      </c>
      <c r="D12" s="341">
        <v>16471.2699999999</v>
      </c>
      <c r="E12" s="502">
        <f>'пеня 2023'!C44+'пеня 2023'!I44+'пеня 2023'!M44+'пеня 2023'!Q44</f>
        <v>8764.97</v>
      </c>
      <c r="F12" s="503">
        <f>'пеня 2023'!F44+'пеня 2023'!J44+'пеня 2023'!N44+'пеня 2023'!S44</f>
        <v>7335.1</v>
      </c>
      <c r="G12" s="502">
        <f>'пеня 2023'!C75+'пеня 2023'!H75+'пеня 2023'!L75+'пеня 2023'!P75</f>
        <v>8764.88</v>
      </c>
      <c r="H12" s="27">
        <f>'пеня 2023'!D75+'пеня 2023'!I75+'пеня 2023'!M75+'пеня 2023'!R75</f>
        <v>7565.3</v>
      </c>
      <c r="I12" s="28">
        <f>'пеня 2023'!C106+'пеня 2023'!H106+'пеня 2023'!L106+'пеня 2023'!P106</f>
        <v>8775.839999999998</v>
      </c>
      <c r="J12" s="29">
        <f>'пеня 2023'!D106+'пеня 2023'!I106+'пеня 2023'!M106+'пеня 2023'!R106</f>
        <v>9956.06</v>
      </c>
      <c r="K12" s="3">
        <f>'пеня 2023'!C137+'пеня 2023'!H137+'пеня 2023'!L137+'пеня 2023'!P137</f>
        <v>8765.8</v>
      </c>
      <c r="L12" s="20">
        <f>'пеня 2023'!D137+'пеня 2023'!I137+'пеня 2023'!M137+'пеня 2023'!R137</f>
        <v>8939.14</v>
      </c>
      <c r="M12" s="1474">
        <f>'пеня 2023'!C168+'пеня 2023'!H168+'пеня 2023'!L168+'пеня 2023'!P168</f>
        <v>8764.88</v>
      </c>
      <c r="N12" s="1475">
        <f>'пеня 2023'!D168+'пеня 2023'!I168+'пеня 2023'!M168+'пеня 2023'!R168</f>
        <v>6936.18</v>
      </c>
      <c r="O12" s="7">
        <f>'пеня 2023'!C199+'пеня 2023'!H199+'пеня 2023'!L199+'пеня 2023'!P199</f>
        <v>8766.009999999998</v>
      </c>
      <c r="P12" s="35">
        <f>'пеня 2023'!D199+'пеня 2023'!I199+'пеня 2023'!M199+'пеня 2023'!R199</f>
        <v>9212.33</v>
      </c>
      <c r="Q12" s="1403">
        <f t="shared" si="0"/>
        <v>52602.37999999999</v>
      </c>
      <c r="R12" s="223">
        <f t="shared" si="1"/>
        <v>49944.11</v>
      </c>
      <c r="S12" s="32">
        <f t="shared" si="2"/>
        <v>2658.2699999999913</v>
      </c>
      <c r="T12" s="10">
        <f t="shared" si="3"/>
        <v>832166.45</v>
      </c>
      <c r="U12" s="43">
        <f t="shared" si="3"/>
        <v>813036.9100000001</v>
      </c>
      <c r="V12" s="10">
        <f t="shared" si="4"/>
        <v>19129.539999999804</v>
      </c>
      <c r="W12" s="256"/>
      <c r="X12" s="3"/>
    </row>
    <row r="13" spans="1:24" ht="15">
      <c r="A13" s="13" t="s">
        <v>12</v>
      </c>
      <c r="B13" s="340">
        <v>4661528.34</v>
      </c>
      <c r="C13" s="340">
        <v>4594285.83</v>
      </c>
      <c r="D13" s="341">
        <v>67242.50999999978</v>
      </c>
      <c r="E13" s="502">
        <f>'пеня 2023'!C45+'пеня 2023'!I45+'пеня 2023'!M45+'пеня 2023'!Q45</f>
        <v>52458.659999999996</v>
      </c>
      <c r="F13" s="503">
        <f>'пеня 2023'!F45+'пеня 2023'!J45+'пеня 2023'!N45+'пеня 2023'!S45</f>
        <v>41259.56999999999</v>
      </c>
      <c r="G13" s="502">
        <f>'пеня 2023'!C76+'пеня 2023'!H76+'пеня 2023'!L76+'пеня 2023'!P76</f>
        <v>52545.189999999995</v>
      </c>
      <c r="H13" s="27">
        <f>'пеня 2023'!D76+'пеня 2023'!I76+'пеня 2023'!M76+'пеня 2023'!R76</f>
        <v>46019.02999999999</v>
      </c>
      <c r="I13" s="28">
        <f>'пеня 2023'!C107+'пеня 2023'!H107+'пеня 2023'!L107+'пеня 2023'!P107</f>
        <v>52573.87</v>
      </c>
      <c r="J13" s="29">
        <f>'пеня 2023'!D107+'пеня 2023'!I107+'пеня 2023'!M107+'пеня 2023'!R107</f>
        <v>54877.76</v>
      </c>
      <c r="K13" s="3">
        <f>'пеня 2023'!C138+'пеня 2023'!H138+'пеня 2023'!L138+'пеня 2023'!P138</f>
        <v>52618.02</v>
      </c>
      <c r="L13" s="20">
        <f>'пеня 2023'!D138+'пеня 2023'!I138+'пеня 2023'!M138+'пеня 2023'!R138</f>
        <v>52643.06</v>
      </c>
      <c r="M13" s="1474">
        <f>'пеня 2023'!C169+'пеня 2023'!H169+'пеня 2023'!L169+'пеня 2023'!P169</f>
        <v>52139.27</v>
      </c>
      <c r="N13" s="1475">
        <f>'пеня 2023'!D169+'пеня 2023'!I169+'пеня 2023'!M169+'пеня 2023'!R169</f>
        <v>47092.60999999999</v>
      </c>
      <c r="O13" s="7">
        <f>'пеня 2023'!C200+'пеня 2023'!H200+'пеня 2023'!L200+'пеня 2023'!P200</f>
        <v>52545.21</v>
      </c>
      <c r="P13" s="35">
        <f>'пеня 2023'!D200+'пеня 2023'!I200+'пеня 2023'!M200+'пеня 2023'!R200</f>
        <v>55479.229999999996</v>
      </c>
      <c r="Q13" s="1403">
        <f t="shared" si="0"/>
        <v>314880.22000000003</v>
      </c>
      <c r="R13" s="223">
        <f t="shared" si="1"/>
        <v>297371.25999999995</v>
      </c>
      <c r="S13" s="32">
        <f t="shared" si="2"/>
        <v>17508.960000000036</v>
      </c>
      <c r="T13" s="10">
        <f t="shared" si="3"/>
        <v>4976408.56</v>
      </c>
      <c r="U13" s="43">
        <f t="shared" si="3"/>
        <v>4891657.090000001</v>
      </c>
      <c r="V13" s="10">
        <f t="shared" si="4"/>
        <v>84751.46999999881</v>
      </c>
      <c r="W13" s="256"/>
      <c r="X13" s="3"/>
    </row>
    <row r="14" spans="1:24" ht="15">
      <c r="A14" s="13" t="s">
        <v>13</v>
      </c>
      <c r="B14" s="340">
        <v>2717559.029999999</v>
      </c>
      <c r="C14" s="340">
        <v>2665432.849999999</v>
      </c>
      <c r="D14" s="341">
        <v>52126.1799999997</v>
      </c>
      <c r="E14" s="502">
        <f>'пеня 2023'!C46+'пеня 2023'!I46+'пеня 2023'!M46+'пеня 2023'!Q46</f>
        <v>30580.73</v>
      </c>
      <c r="F14" s="503">
        <f>'пеня 2023'!F46+'пеня 2023'!J46+'пеня 2023'!N46+'пеня 2023'!S46</f>
        <v>27519.329999999998</v>
      </c>
      <c r="G14" s="502">
        <f>'пеня 2023'!C77+'пеня 2023'!H77+'пеня 2023'!L77+'пеня 2023'!P77</f>
        <v>30609.33</v>
      </c>
      <c r="H14" s="27">
        <f>'пеня 2023'!D77+'пеня 2023'!I77+'пеня 2023'!M77+'пеня 2023'!R77</f>
        <v>28364</v>
      </c>
      <c r="I14" s="28">
        <f>'пеня 2023'!C108+'пеня 2023'!H108+'пеня 2023'!L108+'пеня 2023'!P108</f>
        <v>30602.530000000002</v>
      </c>
      <c r="J14" s="29">
        <f>'пеня 2023'!D108+'пеня 2023'!I108+'пеня 2023'!M108+'пеня 2023'!R108</f>
        <v>31052.22</v>
      </c>
      <c r="K14" s="3">
        <f>'пеня 2023'!C139+'пеня 2023'!H139+'пеня 2023'!L139+'пеня 2023'!P139</f>
        <v>30684.77</v>
      </c>
      <c r="L14" s="20">
        <f>'пеня 2023'!D139+'пеня 2023'!I139+'пеня 2023'!M139+'пеня 2023'!R139</f>
        <v>32189.12</v>
      </c>
      <c r="M14" s="1474">
        <f>'пеня 2023'!C170+'пеня 2023'!H170+'пеня 2023'!L170+'пеня 2023'!P170</f>
        <v>30594.760000000002</v>
      </c>
      <c r="N14" s="1475">
        <f>'пеня 2023'!D170+'пеня 2023'!I170+'пеня 2023'!M170+'пеня 2023'!R170</f>
        <v>30892.600000000002</v>
      </c>
      <c r="O14" s="7">
        <f>'пеня 2023'!C201+'пеня 2023'!H201+'пеня 2023'!L201+'пеня 2023'!P201</f>
        <v>30644.930000000004</v>
      </c>
      <c r="P14" s="35">
        <f>'пеня 2023'!D201+'пеня 2023'!I201+'пеня 2023'!M201+'пеня 2023'!R201</f>
        <v>30164.460000000003</v>
      </c>
      <c r="Q14" s="1403">
        <f t="shared" si="0"/>
        <v>183717.05</v>
      </c>
      <c r="R14" s="223">
        <f t="shared" si="1"/>
        <v>180181.72999999998</v>
      </c>
      <c r="S14" s="32">
        <f t="shared" si="2"/>
        <v>3535.319999999996</v>
      </c>
      <c r="T14" s="10">
        <f t="shared" si="3"/>
        <v>2901276.0799999987</v>
      </c>
      <c r="U14" s="43">
        <f t="shared" si="3"/>
        <v>2845614.5799999996</v>
      </c>
      <c r="V14" s="10">
        <f t="shared" si="4"/>
        <v>55661.49999999907</v>
      </c>
      <c r="W14" s="256"/>
      <c r="X14" s="3"/>
    </row>
    <row r="15" spans="1:24" ht="15">
      <c r="A15" s="13" t="s">
        <v>14</v>
      </c>
      <c r="B15" s="340">
        <v>3449817.7400000007</v>
      </c>
      <c r="C15" s="340">
        <v>3407158.4199999995</v>
      </c>
      <c r="D15" s="341">
        <v>42659.32000000123</v>
      </c>
      <c r="E15" s="502">
        <f>'пеня 2023'!C47+'пеня 2023'!I47+'пеня 2023'!M47+'пеня 2023'!Q47</f>
        <v>39623.57</v>
      </c>
      <c r="F15" s="503">
        <f>'пеня 2023'!F47+'пеня 2023'!J47+'пеня 2023'!N47+'пеня 2023'!S47</f>
        <v>30473.1</v>
      </c>
      <c r="G15" s="502">
        <f>'пеня 2023'!C78+'пеня 2023'!H78+'пеня 2023'!L78+'пеня 2023'!P78</f>
        <v>39508.060000000005</v>
      </c>
      <c r="H15" s="27">
        <f>'пеня 2023'!D78+'пеня 2023'!I78+'пеня 2023'!M78+'пеня 2023'!R78</f>
        <v>36677.130000000005</v>
      </c>
      <c r="I15" s="28">
        <f>'пеня 2023'!C109+'пеня 2023'!H109+'пеня 2023'!L109+'пеня 2023'!P109</f>
        <v>39542.060000000005</v>
      </c>
      <c r="J15" s="29">
        <f>'пеня 2023'!D109+'пеня 2023'!I109+'пеня 2023'!M109+'пеня 2023'!R109</f>
        <v>42668.8</v>
      </c>
      <c r="K15" s="3">
        <f>'пеня 2023'!C140+'пеня 2023'!H140+'пеня 2023'!L140+'пеня 2023'!P140</f>
        <v>39533.37</v>
      </c>
      <c r="L15" s="20">
        <f>'пеня 2023'!D140+'пеня 2023'!I140+'пеня 2023'!M140+'пеня 2023'!R140</f>
        <v>47117.18</v>
      </c>
      <c r="M15" s="1474">
        <f>'пеня 2023'!C171+'пеня 2023'!H171+'пеня 2023'!L171+'пеня 2023'!P171</f>
        <v>39503.25</v>
      </c>
      <c r="N15" s="1475">
        <f>'пеня 2023'!D171+'пеня 2023'!I171+'пеня 2023'!M171+'пеня 2023'!R171</f>
        <v>37019.43000000001</v>
      </c>
      <c r="O15" s="7">
        <f>'пеня 2023'!C202+'пеня 2023'!H202+'пеня 2023'!L202+'пеня 2023'!P202</f>
        <v>39500.19</v>
      </c>
      <c r="P15" s="35">
        <f>'пеня 2023'!D202+'пеня 2023'!I202+'пеня 2023'!M202+'пеня 2023'!R202</f>
        <v>35756.490000000005</v>
      </c>
      <c r="Q15" s="1403">
        <f t="shared" si="0"/>
        <v>237210.5</v>
      </c>
      <c r="R15" s="223">
        <f t="shared" si="1"/>
        <v>229712.13</v>
      </c>
      <c r="S15" s="32">
        <f t="shared" si="2"/>
        <v>7498.369999999966</v>
      </c>
      <c r="T15" s="10">
        <f t="shared" si="3"/>
        <v>3687028.2400000007</v>
      </c>
      <c r="U15" s="43">
        <f t="shared" si="3"/>
        <v>3636870.55</v>
      </c>
      <c r="V15" s="10">
        <f t="shared" si="4"/>
        <v>50157.690000000875</v>
      </c>
      <c r="W15" s="256"/>
      <c r="X15" s="3"/>
    </row>
    <row r="16" spans="1:24" ht="15">
      <c r="A16" s="46" t="s">
        <v>55</v>
      </c>
      <c r="B16" s="340">
        <v>1666441.6800000004</v>
      </c>
      <c r="C16" s="340">
        <v>1500115.8099999998</v>
      </c>
      <c r="D16" s="341">
        <v>166325.87000000058</v>
      </c>
      <c r="E16" s="502">
        <f>'пеня 2023'!C48+'пеня 2023'!I48+'пеня 2023'!M48+'пеня 2023'!Q48</f>
        <v>17276.519999999997</v>
      </c>
      <c r="F16" s="503">
        <f>'пеня 2023'!F48+'пеня 2023'!J48+'пеня 2023'!N48+'пеня 2023'!S48</f>
        <v>21297.26</v>
      </c>
      <c r="G16" s="502">
        <f>'пеня 2023'!C79+'пеня 2023'!H79+'пеня 2023'!L79+'пеня 2023'!P79</f>
        <v>17276.129999999997</v>
      </c>
      <c r="H16" s="27">
        <f>'пеня 2023'!D79+'пеня 2023'!I79+'пеня 2023'!M79+'пеня 2023'!R79</f>
        <v>18652.3</v>
      </c>
      <c r="I16" s="28">
        <f>'пеня 2023'!C110+'пеня 2023'!H110+'пеня 2023'!L110+'пеня 2023'!P110</f>
        <v>17261.44</v>
      </c>
      <c r="J16" s="29">
        <f>'пеня 2023'!D110+'пеня 2023'!I110+'пеня 2023'!M110+'пеня 2023'!R110</f>
        <v>16642.07</v>
      </c>
      <c r="K16" s="3">
        <f>'пеня 2023'!C141+'пеня 2023'!H141+'пеня 2023'!L141+'пеня 2023'!P141</f>
        <v>17259.37</v>
      </c>
      <c r="L16" s="20">
        <f>'пеня 2023'!D141+'пеня 2023'!I141+'пеня 2023'!M141+'пеня 2023'!R141</f>
        <v>13374.03</v>
      </c>
      <c r="M16" s="1474">
        <f>'пеня 2023'!C172+'пеня 2023'!H172+'пеня 2023'!L172+'пеня 2023'!P172</f>
        <v>17257.7</v>
      </c>
      <c r="N16" s="1475">
        <f>'пеня 2023'!D172+'пеня 2023'!I172+'пеня 2023'!M172+'пеня 2023'!R172</f>
        <v>18708.68</v>
      </c>
      <c r="O16" s="7">
        <f>'пеня 2023'!C203+'пеня 2023'!H203+'пеня 2023'!L203+'пеня 2023'!P203</f>
        <v>17258.11</v>
      </c>
      <c r="P16" s="35">
        <f>'пеня 2023'!D203+'пеня 2023'!I203+'пеня 2023'!M203+'пеня 2023'!R203</f>
        <v>15917.289999999999</v>
      </c>
      <c r="Q16" s="1403">
        <f t="shared" si="0"/>
        <v>103589.26999999999</v>
      </c>
      <c r="R16" s="223">
        <f t="shared" si="1"/>
        <v>104591.62999999999</v>
      </c>
      <c r="S16" s="32">
        <f t="shared" si="2"/>
        <v>-1002.360000000006</v>
      </c>
      <c r="T16" s="10">
        <f t="shared" si="3"/>
        <v>1770030.9500000004</v>
      </c>
      <c r="U16" s="43">
        <f t="shared" si="3"/>
        <v>1604707.44</v>
      </c>
      <c r="V16" s="10">
        <f>T16-U16</f>
        <v>165323.51000000047</v>
      </c>
      <c r="W16" s="256"/>
      <c r="X16" s="3"/>
    </row>
    <row r="17" spans="1:24" ht="15">
      <c r="A17" s="13" t="s">
        <v>15</v>
      </c>
      <c r="B17" s="340">
        <v>3571633.1599999997</v>
      </c>
      <c r="C17" s="340">
        <v>3418205.0399999996</v>
      </c>
      <c r="D17" s="341">
        <v>153428.1200000001</v>
      </c>
      <c r="E17" s="502">
        <f>'пеня 2023'!C49+'пеня 2023'!I49+'пеня 2023'!M49+'пеня 2023'!Q49</f>
        <v>41395.12</v>
      </c>
      <c r="F17" s="503">
        <f>'пеня 2023'!F49+'пеня 2023'!J49+'пеня 2023'!N49+'пеня 2023'!S49</f>
        <v>27498.85</v>
      </c>
      <c r="G17" s="502">
        <f>'пеня 2023'!C80+'пеня 2023'!H80+'пеня 2023'!L80+'пеня 2023'!P80</f>
        <v>41458.69</v>
      </c>
      <c r="H17" s="27">
        <f>'пеня 2023'!D80+'пеня 2023'!I80+'пеня 2023'!M80+'пеня 2023'!R80</f>
        <v>41209.3</v>
      </c>
      <c r="I17" s="28">
        <f>'пеня 2023'!C111+'пеня 2023'!H111+'пеня 2023'!L111+'пеня 2023'!P111</f>
        <v>41626.72</v>
      </c>
      <c r="J17" s="29">
        <f>'пеня 2023'!D111+'пеня 2023'!I111+'пеня 2023'!M111+'пеня 2023'!R111</f>
        <v>44880.57</v>
      </c>
      <c r="K17" s="3">
        <f>'пеня 2023'!C142+'пеня 2023'!H142+'пеня 2023'!L142+'пеня 2023'!P142</f>
        <v>41442.770000000004</v>
      </c>
      <c r="L17" s="20">
        <f>'пеня 2023'!D142+'пеня 2023'!I142+'пеня 2023'!M142+'пеня 2023'!R142</f>
        <v>37103.65</v>
      </c>
      <c r="M17" s="1474">
        <f>'пеня 2023'!C173+'пеня 2023'!H173+'пеня 2023'!L173+'пеня 2023'!P173</f>
        <v>41486.39</v>
      </c>
      <c r="N17" s="1475">
        <f>'пеня 2023'!D173+'пеня 2023'!I173+'пеня 2023'!M173+'пеня 2023'!R173</f>
        <v>39247.24</v>
      </c>
      <c r="O17" s="7">
        <f>'пеня 2023'!C204+'пеня 2023'!H204+'пеня 2023'!L204+'пеня 2023'!P204</f>
        <v>41383.450000000004</v>
      </c>
      <c r="P17" s="35">
        <f>'пеня 2023'!D204+'пеня 2023'!I204+'пеня 2023'!M204+'пеня 2023'!R204</f>
        <v>37661.25</v>
      </c>
      <c r="Q17" s="1403">
        <f t="shared" si="0"/>
        <v>248793.14</v>
      </c>
      <c r="R17" s="223">
        <f t="shared" si="1"/>
        <v>227600.86</v>
      </c>
      <c r="S17" s="32">
        <f t="shared" si="2"/>
        <v>21192.27999999999</v>
      </c>
      <c r="T17" s="10">
        <f t="shared" si="3"/>
        <v>3820426.3000000003</v>
      </c>
      <c r="U17" s="43">
        <f t="shared" si="3"/>
        <v>3645805.8999999994</v>
      </c>
      <c r="V17" s="10">
        <f t="shared" si="4"/>
        <v>174620.40000000084</v>
      </c>
      <c r="W17" s="256"/>
      <c r="X17" s="3"/>
    </row>
    <row r="18" spans="1:24" ht="15">
      <c r="A18" s="46" t="s">
        <v>16</v>
      </c>
      <c r="B18" s="340">
        <v>2856701.77</v>
      </c>
      <c r="C18" s="340">
        <v>2834841.7200000007</v>
      </c>
      <c r="D18" s="341">
        <v>21860.0499999993</v>
      </c>
      <c r="E18" s="502">
        <f>'пеня 2023'!C50+'пеня 2023'!I50+'пеня 2023'!M50+'пеня 2023'!Q50</f>
        <v>32196.75</v>
      </c>
      <c r="F18" s="503">
        <f>'пеня 2023'!F50+'пеня 2023'!J50+'пеня 2023'!N50+'пеня 2023'!S50</f>
        <v>23132.140000000003</v>
      </c>
      <c r="G18" s="502">
        <f>'пеня 2023'!C81+'пеня 2023'!H81+'пеня 2023'!L81+'пеня 2023'!P81</f>
        <v>32298.5</v>
      </c>
      <c r="H18" s="27">
        <f>'пеня 2023'!D81+'пеня 2023'!I81+'пеня 2023'!M81+'пеня 2023'!R81</f>
        <v>34807.71</v>
      </c>
      <c r="I18" s="28">
        <f>'пеня 2023'!C112+'пеня 2023'!H112+'пеня 2023'!L112+'пеня 2023'!P112</f>
        <v>32200.09</v>
      </c>
      <c r="J18" s="29">
        <f>'пеня 2023'!D112+'пеня 2023'!I112+'пеня 2023'!M112+'пеня 2023'!R112</f>
        <v>30743.010000000002</v>
      </c>
      <c r="K18" s="3">
        <f>'пеня 2023'!C143+'пеня 2023'!H143+'пеня 2023'!L143+'пеня 2023'!P143</f>
        <v>32252.48</v>
      </c>
      <c r="L18" s="20">
        <f>'пеня 2023'!D143+'пеня 2023'!I143+'пеня 2023'!M143+'пеня 2023'!R143</f>
        <v>35055.75</v>
      </c>
      <c r="M18" s="1474">
        <f>'пеня 2023'!C174+'пеня 2023'!H174+'пеня 2023'!L174+'пеня 2023'!P174</f>
        <v>32197.87</v>
      </c>
      <c r="N18" s="1475">
        <f>'пеня 2023'!D174+'пеня 2023'!I174+'пеня 2023'!M174+'пеня 2023'!R174</f>
        <v>27937.24</v>
      </c>
      <c r="O18" s="7">
        <f>'пеня 2023'!C205+'пеня 2023'!H205+'пеня 2023'!L205+'пеня 2023'!P205</f>
        <v>32196.92</v>
      </c>
      <c r="P18" s="35">
        <f>'пеня 2023'!D205+'пеня 2023'!I205+'пеня 2023'!M205+'пеня 2023'!R205</f>
        <v>30496.38</v>
      </c>
      <c r="Q18" s="1403">
        <f t="shared" si="0"/>
        <v>193342.61</v>
      </c>
      <c r="R18" s="223">
        <f t="shared" si="1"/>
        <v>182172.23</v>
      </c>
      <c r="S18" s="32">
        <f t="shared" si="2"/>
        <v>11170.379999999965</v>
      </c>
      <c r="T18" s="10">
        <f t="shared" si="3"/>
        <v>3050044.38</v>
      </c>
      <c r="U18" s="43">
        <f t="shared" si="3"/>
        <v>3017013.9500000007</v>
      </c>
      <c r="V18" s="10">
        <f t="shared" si="4"/>
        <v>33030.429999999236</v>
      </c>
      <c r="W18" s="256"/>
      <c r="X18" s="3"/>
    </row>
    <row r="19" spans="1:24" ht="15">
      <c r="A19" s="13" t="s">
        <v>17</v>
      </c>
      <c r="B19" s="340">
        <v>3787270.6800000006</v>
      </c>
      <c r="C19" s="340">
        <v>3736277.490000001</v>
      </c>
      <c r="D19" s="341">
        <v>50993.18999999948</v>
      </c>
      <c r="E19" s="502">
        <f>'пеня 2023'!C51+'пеня 2023'!I51+'пеня 2023'!M51+'пеня 2023'!Q51</f>
        <v>42581.22</v>
      </c>
      <c r="F19" s="503">
        <f>'пеня 2023'!F51+'пеня 2023'!J51+'пеня 2023'!N51+'пеня 2023'!S51</f>
        <v>35500.170000000006</v>
      </c>
      <c r="G19" s="502">
        <f>'пеня 2023'!C82+'пеня 2023'!H82+'пеня 2023'!L82+'пеня 2023'!P82</f>
        <v>42624.94</v>
      </c>
      <c r="H19" s="27">
        <f>'пеня 2023'!D82+'пеня 2023'!I82+'пеня 2023'!M82+'пеня 2023'!R82</f>
        <v>39807.62</v>
      </c>
      <c r="I19" s="28">
        <f>'пеня 2023'!C113+'пеня 2023'!H113+'пеня 2023'!L113+'пеня 2023'!P113</f>
        <v>42632.78</v>
      </c>
      <c r="J19" s="29">
        <f>'пеня 2023'!D113+'пеня 2023'!I113+'пеня 2023'!M113+'пеня 2023'!R113</f>
        <v>39357.9</v>
      </c>
      <c r="K19" s="3">
        <f>'пеня 2023'!C144+'пеня 2023'!H144+'пеня 2023'!L144+'пеня 2023'!P144</f>
        <v>42625.66</v>
      </c>
      <c r="L19" s="20">
        <f>'пеня 2023'!D144+'пеня 2023'!I144+'пеня 2023'!M144+'пеня 2023'!R144</f>
        <v>41973.54</v>
      </c>
      <c r="M19" s="1474">
        <f>'пеня 2023'!C175+'пеня 2023'!H175+'пеня 2023'!L175+'пеня 2023'!P175</f>
        <v>42710.81</v>
      </c>
      <c r="N19" s="1475">
        <f>'пеня 2023'!D175+'пеня 2023'!I175+'пеня 2023'!M175+'пеня 2023'!R175</f>
        <v>43639.93</v>
      </c>
      <c r="O19" s="7">
        <f>'пеня 2023'!C206+'пеня 2023'!H206+'пеня 2023'!L206+'пеня 2023'!P206</f>
        <v>42684.93</v>
      </c>
      <c r="P19" s="35">
        <f>'пеня 2023'!D206+'пеня 2023'!I206+'пеня 2023'!M206+'пеня 2023'!R206</f>
        <v>46266.189999999995</v>
      </c>
      <c r="Q19" s="1403">
        <f t="shared" si="0"/>
        <v>255860.34</v>
      </c>
      <c r="R19" s="223">
        <f t="shared" si="1"/>
        <v>246545.35</v>
      </c>
      <c r="S19" s="32">
        <f t="shared" si="2"/>
        <v>9314.98999999999</v>
      </c>
      <c r="T19" s="10">
        <f t="shared" si="3"/>
        <v>4043131.020000001</v>
      </c>
      <c r="U19" s="43">
        <f t="shared" si="3"/>
        <v>3982822.8400000012</v>
      </c>
      <c r="V19" s="10">
        <f t="shared" si="4"/>
        <v>60308.1799999997</v>
      </c>
      <c r="W19" s="256"/>
      <c r="X19" s="3"/>
    </row>
    <row r="20" spans="1:25" ht="15">
      <c r="A20" s="13" t="s">
        <v>18</v>
      </c>
      <c r="B20" s="340">
        <v>8053068.489999998</v>
      </c>
      <c r="C20" s="340">
        <v>7902656.219999998</v>
      </c>
      <c r="D20" s="341">
        <v>150412.27000000048</v>
      </c>
      <c r="E20" s="502">
        <f>'пеня 2023'!C52+'пеня 2023'!I52+'пеня 2023'!M52+'пеня 2023'!Q52</f>
        <v>91139.29999999999</v>
      </c>
      <c r="F20" s="503">
        <f>'пеня 2023'!F52+'пеня 2023'!J52+'пеня 2023'!N52+'пеня 2023'!S52</f>
        <v>70254.91</v>
      </c>
      <c r="G20" s="502">
        <f>'пеня 2023'!C83+'пеня 2023'!H83+'пеня 2023'!L83+'пеня 2023'!P83</f>
        <v>91323.59999999999</v>
      </c>
      <c r="H20" s="27">
        <f>'пеня 2023'!D83+'пеня 2023'!I83+'пеня 2023'!M83+'пеня 2023'!R83</f>
        <v>90470.57999999999</v>
      </c>
      <c r="I20" s="28">
        <f>'пеня 2023'!C114+'пеня 2023'!H114+'пеня 2023'!L114+'пеня 2023'!P114</f>
        <v>91345.99999999999</v>
      </c>
      <c r="J20" s="29">
        <f>'пеня 2023'!D114+'пеня 2023'!I114+'пеня 2023'!M114+'пеня 2023'!R114</f>
        <v>97002.23999999999</v>
      </c>
      <c r="K20" s="3">
        <f>'пеня 2023'!C145+'пеня 2023'!H145+'пеня 2023'!L145+'пеня 2023'!P145</f>
        <v>91756.68</v>
      </c>
      <c r="L20" s="20">
        <f>'пеня 2023'!D145+'пеня 2023'!I145+'пеня 2023'!M145+'пеня 2023'!R145</f>
        <v>103631.14</v>
      </c>
      <c r="M20" s="1474">
        <f>'пеня 2023'!C176+'пеня 2023'!H176+'пеня 2023'!L176+'пеня 2023'!P176</f>
        <v>91154.26</v>
      </c>
      <c r="N20" s="1475">
        <f>'пеня 2023'!D176+'пеня 2023'!I176+'пеня 2023'!M176+'пеня 2023'!R176</f>
        <v>84546.68999999999</v>
      </c>
      <c r="O20" s="7">
        <f>'пеня 2023'!C207+'пеня 2023'!H207+'пеня 2023'!L207+'пеня 2023'!P207</f>
        <v>91315.02999999998</v>
      </c>
      <c r="P20" s="35">
        <f>'пеня 2023'!D207+'пеня 2023'!I207+'пеня 2023'!M207+'пеня 2023'!R207</f>
        <v>89373.02</v>
      </c>
      <c r="Q20" s="1403">
        <f>E20+G20+I20+K20+M20+O20</f>
        <v>548034.87</v>
      </c>
      <c r="R20" s="223">
        <f>F20+H20+J20+L20+N20+P20</f>
        <v>535278.58</v>
      </c>
      <c r="S20" s="32">
        <f t="shared" si="2"/>
        <v>12756.290000000008</v>
      </c>
      <c r="T20" s="10">
        <f t="shared" si="3"/>
        <v>8601103.359999998</v>
      </c>
      <c r="U20" s="43">
        <f t="shared" si="3"/>
        <v>8437934.799999999</v>
      </c>
      <c r="V20" s="10">
        <f t="shared" si="4"/>
        <v>163168.55999999866</v>
      </c>
      <c r="W20" s="256"/>
      <c r="X20" s="3"/>
      <c r="Y20" s="224"/>
    </row>
    <row r="21" spans="1:25" ht="15" customHeight="1">
      <c r="A21" s="46" t="s">
        <v>54</v>
      </c>
      <c r="B21" s="340">
        <v>3594883.2599999993</v>
      </c>
      <c r="C21" s="340">
        <v>3383075.599999999</v>
      </c>
      <c r="D21" s="341">
        <v>211807.66000000015</v>
      </c>
      <c r="E21" s="502">
        <f>'пеня 2023'!C53+'пеня 2023'!I53+'пеня 2023'!M53+'пеня 2023'!Q53</f>
        <v>38222.63</v>
      </c>
      <c r="F21" s="503">
        <f>'пеня 2023'!F53+'пеня 2023'!J53+'пеня 2023'!N53+'пеня 2023'!S53</f>
        <v>29841.3</v>
      </c>
      <c r="G21" s="502">
        <f>'пеня 2023'!C84+'пеня 2023'!H84+'пеня 2023'!L84+'пеня 2023'!P84</f>
        <v>38243.82</v>
      </c>
      <c r="H21" s="27">
        <f>'пеня 2023'!D84+'пеня 2023'!I84+'пеня 2023'!M84+'пеня 2023'!R84</f>
        <v>36506.549999999996</v>
      </c>
      <c r="I21" s="28">
        <f>'пеня 2023'!C115+'пеня 2023'!H115+'пеня 2023'!L115+'пеня 2023'!P115</f>
        <v>38234.29</v>
      </c>
      <c r="J21" s="29">
        <f>'пеня 2023'!D115+'пеня 2023'!I115+'пеня 2023'!M115+'пеня 2023'!R115</f>
        <v>37669.65</v>
      </c>
      <c r="K21" s="3">
        <f>'пеня 2023'!C146+'пеня 2023'!H146+'пеня 2023'!L146+'пеня 2023'!P146</f>
        <v>38285.68</v>
      </c>
      <c r="L21" s="20">
        <f>'пеня 2023'!D146+'пеня 2023'!I146+'пеня 2023'!M146+'пеня 2023'!R146</f>
        <v>37727.15</v>
      </c>
      <c r="M21" s="1474">
        <f>'пеня 2023'!C177+'пеня 2023'!H177+'пеня 2023'!L177+'пеня 2023'!P177</f>
        <v>38250.22</v>
      </c>
      <c r="N21" s="1475">
        <f>'пеня 2023'!D177+'пеня 2023'!I177+'пеня 2023'!M177+'пеня 2023'!R177</f>
        <v>40028.43</v>
      </c>
      <c r="O21" s="7">
        <f>'пеня 2023'!C208+'пеня 2023'!H208+'пеня 2023'!L208+'пеня 2023'!P208</f>
        <v>38243.72</v>
      </c>
      <c r="P21" s="35">
        <f>'пеня 2023'!D208+'пеня 2023'!I208+'пеня 2023'!M208+'пеня 2023'!R208</f>
        <v>40979.05</v>
      </c>
      <c r="Q21" s="1403">
        <f t="shared" si="0"/>
        <v>229480.36</v>
      </c>
      <c r="R21" s="223">
        <f t="shared" si="1"/>
        <v>222752.13</v>
      </c>
      <c r="S21" s="32">
        <f t="shared" si="2"/>
        <v>6728.230000000018</v>
      </c>
      <c r="T21" s="10">
        <f t="shared" si="3"/>
        <v>3824363.6199999996</v>
      </c>
      <c r="U21" s="43">
        <f t="shared" si="3"/>
        <v>3605827.7299999986</v>
      </c>
      <c r="V21" s="10">
        <f t="shared" si="4"/>
        <v>218535.89000000106</v>
      </c>
      <c r="W21" s="256"/>
      <c r="X21" s="3"/>
      <c r="Y21" s="224"/>
    </row>
    <row r="22" spans="1:25" ht="15" customHeight="1">
      <c r="A22" s="46" t="s">
        <v>49</v>
      </c>
      <c r="B22" s="340">
        <v>7579690.610000001</v>
      </c>
      <c r="C22" s="340">
        <v>7426566.269999999</v>
      </c>
      <c r="D22" s="341">
        <v>153124.34000000264</v>
      </c>
      <c r="E22" s="502">
        <f>'пеня 2023'!C54+'пеня 2023'!I54+'пеня 2023'!M54+'пеня 2023'!Q54</f>
        <v>85515.59</v>
      </c>
      <c r="F22" s="503">
        <f>'пеня 2023'!F54+'пеня 2023'!J54+'пеня 2023'!N54+'пеня 2023'!S54</f>
        <v>71340.59000000001</v>
      </c>
      <c r="G22" s="502">
        <f>'пеня 2023'!C85+'пеня 2023'!H85+'пеня 2023'!L85+'пеня 2023'!P85</f>
        <v>85095.23999999999</v>
      </c>
      <c r="H22" s="27">
        <f>'пеня 2023'!D85+'пеня 2023'!I85+'пеня 2023'!M85+'пеня 2023'!R85</f>
        <v>76730.32</v>
      </c>
      <c r="I22" s="28">
        <f>'пеня 2023'!C116+'пеня 2023'!H116+'пеня 2023'!L116+'пеня 2023'!P116</f>
        <v>85843.94</v>
      </c>
      <c r="J22" s="29">
        <f>'пеня 2023'!D116+'пеня 2023'!I116+'пеня 2023'!M116+'пеня 2023'!R116</f>
        <v>84635</v>
      </c>
      <c r="K22" s="3">
        <f>'пеня 2023'!C147+'пеня 2023'!H147+'пеня 2023'!L147+'пеня 2023'!P147</f>
        <v>85057.42</v>
      </c>
      <c r="L22" s="20">
        <f>'пеня 2023'!D147+'пеня 2023'!I147+'пеня 2023'!M147+'пеня 2023'!R147</f>
        <v>83104.93000000001</v>
      </c>
      <c r="M22" s="1474">
        <f>'пеня 2023'!C178+'пеня 2023'!H178+'пеня 2023'!L178+'пеня 2023'!P178</f>
        <v>85064.86</v>
      </c>
      <c r="N22" s="1475">
        <f>'пеня 2023'!D178+'пеня 2023'!I178+'пеня 2023'!M178+'пеня 2023'!R178</f>
        <v>81146.77999999998</v>
      </c>
      <c r="O22" s="7">
        <f>'пеня 2023'!C209+'пеня 2023'!H209+'пеня 2023'!L209+'пеня 2023'!P209</f>
        <v>85742.12000000001</v>
      </c>
      <c r="P22" s="35">
        <f>'пеня 2023'!D209+'пеня 2023'!I209+'пеня 2023'!M209+'пеня 2023'!R209</f>
        <v>84128.28000000001</v>
      </c>
      <c r="Q22" s="1403">
        <f t="shared" si="0"/>
        <v>512319.17</v>
      </c>
      <c r="R22" s="223">
        <f t="shared" si="1"/>
        <v>481085.9</v>
      </c>
      <c r="S22" s="32">
        <f t="shared" si="2"/>
        <v>31233.26999999996</v>
      </c>
      <c r="T22" s="10">
        <f t="shared" si="3"/>
        <v>8092009.780000002</v>
      </c>
      <c r="U22" s="43">
        <f t="shared" si="3"/>
        <v>7907652.169999999</v>
      </c>
      <c r="V22" s="10">
        <f t="shared" si="4"/>
        <v>184357.61000000313</v>
      </c>
      <c r="W22" s="256"/>
      <c r="X22" s="3"/>
      <c r="Y22" s="224"/>
    </row>
    <row r="23" spans="1:24" ht="15">
      <c r="A23" s="13" t="s">
        <v>19</v>
      </c>
      <c r="B23" s="340">
        <v>5415522.749999999</v>
      </c>
      <c r="C23" s="340">
        <v>5376920.939999998</v>
      </c>
      <c r="D23" s="341">
        <v>38601.81000000145</v>
      </c>
      <c r="E23" s="502">
        <f>'пеня 2023'!C55+'пеня 2023'!I55+'пеня 2023'!M55+'пеня 2023'!Q55</f>
        <v>61200.86</v>
      </c>
      <c r="F23" s="503">
        <f>'пеня 2023'!F55+'пеня 2023'!J55+'пеня 2023'!N55+'пеня 2023'!S55</f>
        <v>49401.18</v>
      </c>
      <c r="G23" s="502">
        <f>'пеня 2023'!C86+'пеня 2023'!H86+'пеня 2023'!L86+'пеня 2023'!P86</f>
        <v>61131</v>
      </c>
      <c r="H23" s="27">
        <f>'пеня 2023'!D86+'пеня 2023'!I86+'пеня 2023'!M86+'пеня 2023'!R86</f>
        <v>52648.94</v>
      </c>
      <c r="I23" s="28">
        <f>'пеня 2023'!C117+'пеня 2023'!H117+'пеня 2023'!L117+'пеня 2023'!P117</f>
        <v>61146.35</v>
      </c>
      <c r="J23" s="29">
        <f>'пеня 2023'!D117+'пеня 2023'!I117+'пеня 2023'!M117+'пеня 2023'!R117</f>
        <v>68158.26000000001</v>
      </c>
      <c r="K23" s="3">
        <f>'пеня 2023'!C148+'пеня 2023'!H148+'пеня 2023'!L148+'пеня 2023'!P148</f>
        <v>61104.759999999995</v>
      </c>
      <c r="L23" s="20">
        <f>'пеня 2023'!D148+'пеня 2023'!I148+'пеня 2023'!M148+'пеня 2023'!R148</f>
        <v>54220.91</v>
      </c>
      <c r="M23" s="1474">
        <f>'пеня 2023'!C179+'пеня 2023'!H179+'пеня 2023'!L179+'пеня 2023'!P179</f>
        <v>61108.31999999999</v>
      </c>
      <c r="N23" s="1475">
        <f>'пеня 2023'!D179+'пеня 2023'!I179+'пеня 2023'!M179+'пеня 2023'!R179</f>
        <v>63612.880000000005</v>
      </c>
      <c r="O23" s="7">
        <f>'пеня 2023'!C210+'пеня 2023'!H210+'пеня 2023'!L210+'пеня 2023'!P210</f>
        <v>61152.729999999996</v>
      </c>
      <c r="P23" s="35">
        <f>'пеня 2023'!D210+'пеня 2023'!I210+'пеня 2023'!M210+'пеня 2023'!R210</f>
        <v>58472.490000000005</v>
      </c>
      <c r="Q23" s="1403">
        <f t="shared" si="0"/>
        <v>366844.01999999996</v>
      </c>
      <c r="R23" s="223">
        <f t="shared" si="1"/>
        <v>346514.66000000003</v>
      </c>
      <c r="S23" s="32">
        <f t="shared" si="2"/>
        <v>20329.359999999942</v>
      </c>
      <c r="T23" s="10">
        <f t="shared" si="3"/>
        <v>5782366.77</v>
      </c>
      <c r="U23" s="43">
        <f t="shared" si="3"/>
        <v>5723435.599999998</v>
      </c>
      <c r="V23" s="10">
        <f t="shared" si="4"/>
        <v>58931.17000000179</v>
      </c>
      <c r="W23" s="256"/>
      <c r="X23" s="3"/>
    </row>
    <row r="24" spans="1:24" ht="15">
      <c r="A24" s="42" t="s">
        <v>20</v>
      </c>
      <c r="B24" s="342">
        <v>3495358.7899999996</v>
      </c>
      <c r="C24" s="342">
        <v>3474223.85</v>
      </c>
      <c r="D24" s="343">
        <v>21134.93999999948</v>
      </c>
      <c r="E24" s="502">
        <f>'пеня 2023'!C56+'пеня 2023'!I56+'пеня 2023'!M56+'пеня 2023'!Q56</f>
        <v>39366.87</v>
      </c>
      <c r="F24" s="503">
        <f>'пеня 2023'!F56+'пеня 2023'!J56+'пеня 2023'!N56+'пеня 2023'!S56</f>
        <v>31153.399999999998</v>
      </c>
      <c r="G24" s="502">
        <f>'пеня 2023'!C87+'пеня 2023'!H87+'пеня 2023'!L87+'пеня 2023'!P87</f>
        <v>39594.91</v>
      </c>
      <c r="H24" s="27">
        <f>'пеня 2023'!D87+'пеня 2023'!I87+'пеня 2023'!M87+'пеня 2023'!R87</f>
        <v>42328.71000000001</v>
      </c>
      <c r="I24" s="28">
        <f>'пеня 2023'!C118+'пеня 2023'!H118+'пеня 2023'!L118+'пеня 2023'!P118</f>
        <v>39479.29000000001</v>
      </c>
      <c r="J24" s="29">
        <f>'пеня 2023'!D118+'пеня 2023'!I118+'пеня 2023'!M118+'пеня 2023'!R118</f>
        <v>40690.52</v>
      </c>
      <c r="K24" s="3">
        <f>'пеня 2023'!C149+'пеня 2023'!H149+'пеня 2023'!L149+'пеня 2023'!P149</f>
        <v>39513.96000000001</v>
      </c>
      <c r="L24" s="20">
        <f>'пеня 2023'!D149+'пеня 2023'!I149+'пеня 2023'!M149+'пеня 2023'!R149</f>
        <v>41829.68</v>
      </c>
      <c r="M24" s="1474">
        <f>'пеня 2023'!C180+'пеня 2023'!H180+'пеня 2023'!L180+'пеня 2023'!P180</f>
        <v>39464.530000000006</v>
      </c>
      <c r="N24" s="1475">
        <f>'пеня 2023'!D180+'пеня 2023'!I180+'пеня 2023'!M180+'пеня 2023'!R180</f>
        <v>36643.07</v>
      </c>
      <c r="O24" s="7">
        <f>'пеня 2023'!C211+'пеня 2023'!H211+'пеня 2023'!L211+'пеня 2023'!P211</f>
        <v>39518.630000000005</v>
      </c>
      <c r="P24" s="35">
        <f>'пеня 2023'!D211+'пеня 2023'!I211+'пеня 2023'!M211+'пеня 2023'!R211</f>
        <v>42853.969999999994</v>
      </c>
      <c r="Q24" s="1403">
        <f t="shared" si="0"/>
        <v>236938.19000000003</v>
      </c>
      <c r="R24" s="223">
        <f t="shared" si="1"/>
        <v>235499.35</v>
      </c>
      <c r="S24" s="255">
        <f t="shared" si="2"/>
        <v>1438.8400000000402</v>
      </c>
      <c r="T24" s="10">
        <f t="shared" si="3"/>
        <v>3732296.9799999995</v>
      </c>
      <c r="U24" s="43">
        <f t="shared" si="3"/>
        <v>3709723.2</v>
      </c>
      <c r="V24" s="10">
        <f t="shared" si="4"/>
        <v>22573.77999999933</v>
      </c>
      <c r="W24" s="256"/>
      <c r="X24" s="142"/>
    </row>
    <row r="25" spans="1:24" ht="15">
      <c r="A25" s="739" t="s">
        <v>208</v>
      </c>
      <c r="B25" s="340">
        <v>4384805.949999999</v>
      </c>
      <c r="C25" s="344">
        <v>4289480.93</v>
      </c>
      <c r="D25" s="343">
        <v>95325.01999999955</v>
      </c>
      <c r="E25" s="502">
        <f>'пеня 2023'!C57+'пеня 2023'!I57+'пеня 2023'!M57+'пеня 2023'!Q57</f>
        <v>49115.219999999994</v>
      </c>
      <c r="F25" s="503">
        <f>'пеня 2023'!F57+'пеня 2023'!J57+'пеня 2023'!N57+'пеня 2023'!S57</f>
        <v>41961.64</v>
      </c>
      <c r="G25" s="502">
        <f>'пеня 2023'!C88+'пеня 2023'!H88+'пеня 2023'!L88+'пеня 2023'!P88</f>
        <v>49127.119999999995</v>
      </c>
      <c r="H25" s="27">
        <f>'пеня 2023'!D88+'пеня 2023'!I88+'пеня 2023'!M88+'пеня 2023'!R88</f>
        <v>46430</v>
      </c>
      <c r="I25" s="28">
        <f>'пеня 2023'!C119+'пеня 2023'!H119+'пеня 2023'!L119+'пеня 2023'!P119</f>
        <v>49197.119999999995</v>
      </c>
      <c r="J25" s="29">
        <f>'пеня 2023'!D119+'пеня 2023'!I119+'пеня 2023'!M119+'пеня 2023'!R119</f>
        <v>55695.16</v>
      </c>
      <c r="K25" s="3">
        <f>'пеня 2023'!C150+'пеня 2023'!H150+'пеня 2023'!L150+'пеня 2023'!P150</f>
        <v>49110.479999999996</v>
      </c>
      <c r="L25" s="20">
        <f>'пеня 2023'!D150+'пеня 2023'!I150+'пеня 2023'!M150+'пеня 2023'!R150</f>
        <v>41756.549999999996</v>
      </c>
      <c r="M25" s="1474">
        <f>'пеня 2023'!C181+'пеня 2023'!H181+'пеня 2023'!L181+'пеня 2023'!P181</f>
        <v>59959.62</v>
      </c>
      <c r="N25" s="1475">
        <f>'пеня 2023'!D181+'пеня 2023'!I181+'пеня 2023'!M181+'пеня 2023'!R181</f>
        <v>54390.509999999995</v>
      </c>
      <c r="O25" s="7">
        <f>'пеня 2023'!C212+'пеня 2023'!H212+'пеня 2023'!L212+'пеня 2023'!P212</f>
        <v>48754.75</v>
      </c>
      <c r="P25" s="35">
        <f>'пеня 2023'!D212+'пеня 2023'!I212+'пеня 2023'!M212+'пеня 2023'!R212</f>
        <v>51744.630000000005</v>
      </c>
      <c r="Q25" s="1403">
        <f t="shared" si="0"/>
        <v>305264.31</v>
      </c>
      <c r="R25" s="223">
        <f t="shared" si="1"/>
        <v>291978.49</v>
      </c>
      <c r="S25" s="255">
        <f t="shared" si="2"/>
        <v>13285.819999999992</v>
      </c>
      <c r="T25" s="10">
        <f t="shared" si="3"/>
        <v>4690070.26</v>
      </c>
      <c r="U25" s="43">
        <f t="shared" si="3"/>
        <v>4581459.419999999</v>
      </c>
      <c r="V25" s="10">
        <f t="shared" si="4"/>
        <v>108610.84000000078</v>
      </c>
      <c r="W25" s="256"/>
      <c r="X25" s="142"/>
    </row>
    <row r="26" spans="1:24" ht="15">
      <c r="A26" s="337" t="s">
        <v>120</v>
      </c>
      <c r="B26" s="340">
        <v>1503767.1800000009</v>
      </c>
      <c r="C26" s="346">
        <v>1488433.7300000002</v>
      </c>
      <c r="D26" s="343">
        <v>15333.450000000652</v>
      </c>
      <c r="E26" s="502">
        <f>'пеня 2023'!C58+'пеня 2023'!I58+'пеня 2023'!M58+'пеня 2023'!Q58</f>
        <v>16861.29</v>
      </c>
      <c r="F26" s="503">
        <f>'пеня 2023'!F58+'пеня 2023'!J58+'пеня 2023'!N58+'пеня 2023'!S58</f>
        <v>12959.24</v>
      </c>
      <c r="G26" s="502">
        <f>'пеня 2023'!C89+'пеня 2023'!H89+'пеня 2023'!L89+'пеня 2023'!P89</f>
        <v>16837.54</v>
      </c>
      <c r="H26" s="27">
        <f>'пеня 2023'!D89+'пеня 2023'!I89+'пеня 2023'!M89+'пеня 2023'!R89</f>
        <v>16331.33</v>
      </c>
      <c r="I26" s="28">
        <f>'пеня 2023'!C120+'пеня 2023'!H120+'пеня 2023'!L120+'пеня 2023'!P120</f>
        <v>16847.12</v>
      </c>
      <c r="J26" s="29">
        <f>'пеня 2023'!D120+'пеня 2023'!I120+'пеня 2023'!M120+'пеня 2023'!R120</f>
        <v>17998.82</v>
      </c>
      <c r="K26" s="3">
        <f>'пеня 2023'!C151+'пеня 2023'!H151+'пеня 2023'!L151+'пеня 2023'!P151</f>
        <v>16856.37</v>
      </c>
      <c r="L26" s="20">
        <f>'пеня 2023'!D151+'пеня 2023'!I151+'пеня 2023'!M151+'пеня 2023'!R151</f>
        <v>17944.780000000002</v>
      </c>
      <c r="M26" s="1474">
        <f>'пеня 2023'!C182+'пеня 2023'!H182+'пеня 2023'!L182+'пеня 2023'!P182</f>
        <v>16857.56</v>
      </c>
      <c r="N26" s="1475">
        <f>'пеня 2023'!D182+'пеня 2023'!I182+'пеня 2023'!M182+'пеня 2023'!R182</f>
        <v>16556.57</v>
      </c>
      <c r="O26" s="7">
        <f>'пеня 2023'!C213+'пеня 2023'!H213+'пеня 2023'!L213+'пеня 2023'!P213</f>
        <v>16817.97</v>
      </c>
      <c r="P26" s="35">
        <f>'пеня 2023'!D213+'пеня 2023'!I213+'пеня 2023'!M213+'пеня 2023'!R213</f>
        <v>15395.84</v>
      </c>
      <c r="Q26" s="1403">
        <f t="shared" si="0"/>
        <v>101077.84999999999</v>
      </c>
      <c r="R26" s="223">
        <f t="shared" si="1"/>
        <v>97186.57999999999</v>
      </c>
      <c r="S26" s="255">
        <f t="shared" si="2"/>
        <v>3891.2699999999786</v>
      </c>
      <c r="T26" s="10">
        <f t="shared" si="3"/>
        <v>1604845.0300000012</v>
      </c>
      <c r="U26" s="43">
        <f t="shared" si="3"/>
        <v>1585620.3100000005</v>
      </c>
      <c r="V26" s="10">
        <f t="shared" si="4"/>
        <v>19224.72000000067</v>
      </c>
      <c r="W26" s="256"/>
      <c r="X26" s="142"/>
    </row>
    <row r="27" spans="1:24" ht="15">
      <c r="A27" s="13" t="s">
        <v>190</v>
      </c>
      <c r="B27" s="340">
        <v>4500845.79</v>
      </c>
      <c r="C27" s="340">
        <v>4203022.420000001</v>
      </c>
      <c r="D27" s="341">
        <v>297823.3699999992</v>
      </c>
      <c r="E27" s="502">
        <f>'пеня 2023'!C59+'пеня 2023'!I59+'пеня 2023'!M59+'пеня 2023'!Q59</f>
        <v>46649.74</v>
      </c>
      <c r="F27" s="503">
        <f>'пеня 2023'!F59+'пеня 2023'!J59+'пеня 2023'!N59+'пеня 2023'!S59</f>
        <v>37431.43</v>
      </c>
      <c r="G27" s="502">
        <f>'пеня 2023'!C90+'пеня 2023'!H90+'пеня 2023'!L90+'пеня 2023'!P90</f>
        <v>46733</v>
      </c>
      <c r="H27" s="27">
        <f>'пеня 2023'!D90+'пеня 2023'!I90+'пеня 2023'!M90+'пеня 2023'!R90</f>
        <v>43209.5</v>
      </c>
      <c r="I27" s="28">
        <f>'пеня 2023'!C121+'пеня 2023'!H121+'пеня 2023'!L121+'пеня 2023'!P121</f>
        <v>46694.65</v>
      </c>
      <c r="J27" s="29">
        <f>'пеня 2023'!D121+'пеня 2023'!I121+'пеня 2023'!M121+'пеня 2023'!R121</f>
        <v>54264.030000000006</v>
      </c>
      <c r="K27" s="3">
        <f>'пеня 2023'!C152+'пеня 2023'!H152+'пеня 2023'!L152+'пеня 2023'!P152</f>
        <v>46706.19</v>
      </c>
      <c r="L27" s="20">
        <f>'пеня 2023'!D152+'пеня 2023'!I152+'пеня 2023'!M152+'пеня 2023'!R152</f>
        <v>49719.7</v>
      </c>
      <c r="M27" s="1474">
        <f>'пеня 2023'!C183+'пеня 2023'!H183+'пеня 2023'!L183+'пеня 2023'!P183</f>
        <v>46720.04</v>
      </c>
      <c r="N27" s="1475">
        <f>'пеня 2023'!D183+'пеня 2023'!I183+'пеня 2023'!M183+'пеня 2023'!R183</f>
        <v>96153.14</v>
      </c>
      <c r="O27" s="7">
        <f>'пеня 2023'!C214+'пеня 2023'!H214+'пеня 2023'!L214+'пеня 2023'!P214</f>
        <v>47732.93000000001</v>
      </c>
      <c r="P27" s="35">
        <f>'пеня 2023'!D214+'пеня 2023'!I214+'пеня 2023'!M214+'пеня 2023'!R214</f>
        <v>53914.15000000001</v>
      </c>
      <c r="Q27" s="1403">
        <f t="shared" si="0"/>
        <v>281236.55</v>
      </c>
      <c r="R27" s="223">
        <f t="shared" si="1"/>
        <v>334691.95</v>
      </c>
      <c r="S27" s="255">
        <f t="shared" si="2"/>
        <v>-53455.40000000001</v>
      </c>
      <c r="T27" s="10">
        <f t="shared" si="3"/>
        <v>4782082.340000001</v>
      </c>
      <c r="U27" s="43">
        <f t="shared" si="3"/>
        <v>4537714.370000001</v>
      </c>
      <c r="V27" s="10">
        <f t="shared" si="4"/>
        <v>244367.96999999974</v>
      </c>
      <c r="W27" s="256"/>
      <c r="X27" s="142"/>
    </row>
    <row r="28" spans="1:24" ht="15">
      <c r="A28" s="337" t="s">
        <v>191</v>
      </c>
      <c r="B28" s="345">
        <v>5393044.689999999</v>
      </c>
      <c r="C28" s="346">
        <v>4775336.51</v>
      </c>
      <c r="D28" s="343">
        <v>617708.1799999988</v>
      </c>
      <c r="E28" s="502">
        <f>'пеня 2023'!C60+'пеня 2023'!I60+'пеня 2023'!M60+'пеня 2023'!Q60</f>
        <v>54438.91</v>
      </c>
      <c r="F28" s="503">
        <f>'пеня 2023'!F60+'пеня 2023'!J60+'пеня 2023'!N60+'пеня 2023'!S60</f>
        <v>40322.090000000004</v>
      </c>
      <c r="G28" s="502">
        <f>'пеня 2023'!C91+'пеня 2023'!H91+'пеня 2023'!L91+'пеня 2023'!P91</f>
        <v>54974.87</v>
      </c>
      <c r="H28" s="27">
        <f>'пеня 2023'!D91+'пеня 2023'!I91+'пеня 2023'!M91+'пеня 2023'!R91</f>
        <v>62969.03999999999</v>
      </c>
      <c r="I28" s="28">
        <f>'пеня 2023'!C122+'пеня 2023'!H122+'пеня 2023'!L122+'пеня 2023'!P122</f>
        <v>57198.94</v>
      </c>
      <c r="J28" s="29">
        <f>'пеня 2023'!D122+'пеня 2023'!I122+'пеня 2023'!M122+'пеня 2023'!R122</f>
        <v>57561.45</v>
      </c>
      <c r="K28" s="3">
        <f>'пеня 2023'!C153+'пеня 2023'!H153+'пеня 2023'!L153+'пеня 2023'!P153</f>
        <v>54769.590000000004</v>
      </c>
      <c r="L28" s="20">
        <f>'пеня 2023'!D153+'пеня 2023'!I153+'пеня 2023'!M153+'пеня 2023'!R153</f>
        <v>49236.98</v>
      </c>
      <c r="M28" s="1474">
        <f>'пеня 2023'!C184+'пеня 2023'!H184+'пеня 2023'!L184+'пеня 2023'!P184</f>
        <v>54798.780000000006</v>
      </c>
      <c r="N28" s="1475">
        <f>'пеня 2023'!D184+'пеня 2023'!I184+'пеня 2023'!M184+'пеня 2023'!R184</f>
        <v>49411.25</v>
      </c>
      <c r="O28" s="7">
        <f>'пеня 2023'!C215+'пеня 2023'!H215+'пеня 2023'!L215+'пеня 2023'!P215</f>
        <v>57121.38</v>
      </c>
      <c r="P28" s="35">
        <f>'пеня 2023'!D215+'пеня 2023'!I215+'пеня 2023'!M215+'пеня 2023'!R215</f>
        <v>66451.03</v>
      </c>
      <c r="Q28" s="1403">
        <f t="shared" si="0"/>
        <v>333302.47000000003</v>
      </c>
      <c r="R28" s="223">
        <f t="shared" si="1"/>
        <v>325951.84</v>
      </c>
      <c r="S28" s="255">
        <f t="shared" si="2"/>
        <v>7350.630000000005</v>
      </c>
      <c r="T28" s="10">
        <f t="shared" si="3"/>
        <v>5726347.159999999</v>
      </c>
      <c r="U28" s="43">
        <f t="shared" si="3"/>
        <v>5101288.350000001</v>
      </c>
      <c r="V28" s="10">
        <f t="shared" si="4"/>
        <v>625058.8099999987</v>
      </c>
      <c r="W28" s="256"/>
      <c r="X28" s="142"/>
    </row>
    <row r="29" spans="1:24" ht="15">
      <c r="A29" s="337" t="s">
        <v>256</v>
      </c>
      <c r="B29" s="345">
        <v>4528943.95</v>
      </c>
      <c r="C29" s="346">
        <v>4258273.06</v>
      </c>
      <c r="D29" s="343">
        <v>270670.8900000006</v>
      </c>
      <c r="E29" s="502">
        <f>'пеня 2023'!C61+'пеня 2023'!I61+'пеня 2023'!M61+'пеня 2023'!Q61</f>
        <v>50002.310000000005</v>
      </c>
      <c r="F29" s="503">
        <f>'пеня 2023'!F61+'пеня 2023'!J61+'пеня 2023'!N61+'пеня 2023'!S61</f>
        <v>42119.380000000005</v>
      </c>
      <c r="G29" s="502">
        <f>'пеня 2023'!C92+'пеня 2023'!H92+'пеня 2023'!L92+'пеня 2023'!P92</f>
        <v>47774.22</v>
      </c>
      <c r="H29" s="27">
        <f>'пеня 2023'!D92+'пеня 2023'!I92+'пеня 2023'!M92+'пеня 2023'!R92</f>
        <v>46335.68</v>
      </c>
      <c r="I29" s="28">
        <f>'пеня 2023'!C123+'пеня 2023'!H123+'пеня 2023'!L123+'пеня 2023'!P123</f>
        <v>47771.08</v>
      </c>
      <c r="J29" s="29">
        <f>'пеня 2023'!D123+'пеня 2023'!I123+'пеня 2023'!M123+'пеня 2023'!R123</f>
        <v>46884.11</v>
      </c>
      <c r="K29" s="3">
        <f>'пеня 2023'!C154+'пеня 2023'!H154+'пеня 2023'!L154+'пеня 2023'!P154</f>
        <v>49959.87</v>
      </c>
      <c r="L29" s="20">
        <f>'пеня 2023'!D154+'пеня 2023'!I154+'пеня 2023'!M154+'пеня 2023'!R154</f>
        <v>52643.27</v>
      </c>
      <c r="M29" s="1474">
        <f>'пеня 2023'!C185+'пеня 2023'!H185+'пеня 2023'!L185+'пеня 2023'!P185</f>
        <v>47784.94</v>
      </c>
      <c r="N29" s="1475">
        <f>'пеня 2023'!D185+'пеня 2023'!I185+'пеня 2023'!M185+'пеня 2023'!R185</f>
        <v>55502.009999999995</v>
      </c>
      <c r="O29" s="7">
        <f>'пеня 2023'!C216+'пеня 2023'!H216+'пеня 2023'!L216+'пеня 2023'!P216</f>
        <v>47798.91</v>
      </c>
      <c r="P29" s="35">
        <f>'пеня 2023'!D216+'пеня 2023'!I216+'пеня 2023'!M216+'пеня 2023'!R216</f>
        <v>50516.5</v>
      </c>
      <c r="Q29" s="1403">
        <f t="shared" si="0"/>
        <v>291091.32999999996</v>
      </c>
      <c r="R29" s="223">
        <f t="shared" si="1"/>
        <v>294000.94999999995</v>
      </c>
      <c r="S29" s="255">
        <f t="shared" si="2"/>
        <v>-2909.62000000001</v>
      </c>
      <c r="T29" s="10">
        <f t="shared" si="3"/>
        <v>4820035.28</v>
      </c>
      <c r="U29" s="43">
        <f t="shared" si="3"/>
        <v>4552274.009999999</v>
      </c>
      <c r="V29" s="10">
        <f t="shared" si="4"/>
        <v>267761.2700000014</v>
      </c>
      <c r="W29" s="256"/>
      <c r="X29" s="142"/>
    </row>
    <row r="30" spans="1:24" ht="15">
      <c r="A30" s="337" t="s">
        <v>257</v>
      </c>
      <c r="B30" s="345">
        <v>1728515.9699999997</v>
      </c>
      <c r="C30" s="346">
        <v>1536792.35</v>
      </c>
      <c r="D30" s="343">
        <v>191723.61999999965</v>
      </c>
      <c r="E30" s="502">
        <f>'пеня 2023'!C62+'пеня 2023'!I62+'пеня 2023'!M62+'пеня 2023'!Q62</f>
        <v>17897.91</v>
      </c>
      <c r="F30" s="503">
        <f>'пеня 2023'!F62+'пеня 2023'!J62+'пеня 2023'!N62+'пеня 2023'!S62</f>
        <v>15858.640000000001</v>
      </c>
      <c r="G30" s="502">
        <f>'пеня 2023'!C93+'пеня 2023'!H93+'пеня 2023'!L93+'пеня 2023'!P93</f>
        <v>17854.49</v>
      </c>
      <c r="H30" s="27">
        <f>'пеня 2023'!D93+'пеня 2023'!I93+'пеня 2023'!M93+'пеня 2023'!R93</f>
        <v>18335.41</v>
      </c>
      <c r="I30" s="28">
        <f>'пеня 2023'!C124+'пеня 2023'!H124+'пеня 2023'!L124+'пеня 2023'!P124</f>
        <v>18227.510000000002</v>
      </c>
      <c r="J30" s="29">
        <f>'пеня 2023'!D124+'пеня 2023'!I124+'пеня 2023'!M124+'пеня 2023'!R124</f>
        <v>40711</v>
      </c>
      <c r="K30" s="3">
        <f>'пеня 2023'!C155+'пеня 2023'!H155+'пеня 2023'!L155+'пеня 2023'!P155</f>
        <v>17789.46</v>
      </c>
      <c r="L30" s="20">
        <f>'пеня 2023'!D155+'пеня 2023'!I155+'пеня 2023'!M155+'пеня 2023'!R155</f>
        <v>28257.5</v>
      </c>
      <c r="M30" s="1474">
        <f>'пеня 2023'!C186+'пеня 2023'!H186+'пеня 2023'!L186+'пеня 2023'!P186</f>
        <v>17793.45</v>
      </c>
      <c r="N30" s="1475">
        <f>'пеня 2023'!D186+'пеня 2023'!I186+'пеня 2023'!M186+'пеня 2023'!R186</f>
        <v>17276.100000000002</v>
      </c>
      <c r="O30" s="7">
        <f>'пеня 2023'!C217+'пеня 2023'!H217+'пеня 2023'!L217+'пеня 2023'!P217</f>
        <v>17793.72</v>
      </c>
      <c r="P30" s="35">
        <f>'пеня 2023'!D217+'пеня 2023'!I217+'пеня 2023'!M217+'пеня 2023'!R217</f>
        <v>22138.97</v>
      </c>
      <c r="Q30" s="1403">
        <f t="shared" si="0"/>
        <v>107356.54</v>
      </c>
      <c r="R30" s="223">
        <f t="shared" si="1"/>
        <v>142577.62</v>
      </c>
      <c r="S30" s="255">
        <f t="shared" si="2"/>
        <v>-35221.080000000016</v>
      </c>
      <c r="T30" s="10">
        <f t="shared" si="3"/>
        <v>1835872.5099999995</v>
      </c>
      <c r="U30" s="43">
        <f t="shared" si="3"/>
        <v>1679369.97</v>
      </c>
      <c r="V30" s="10">
        <f t="shared" si="4"/>
        <v>156502.53999999957</v>
      </c>
      <c r="W30" s="256"/>
      <c r="X30" s="142"/>
    </row>
    <row r="31" spans="1:24" ht="15">
      <c r="A31" s="337" t="s">
        <v>305</v>
      </c>
      <c r="B31" s="345">
        <v>6414521</v>
      </c>
      <c r="C31" s="346">
        <v>5424407.720000001</v>
      </c>
      <c r="D31" s="343">
        <v>990113.2799999993</v>
      </c>
      <c r="E31" s="502">
        <f>'пеня 2023'!C63+'пеня 2023'!I63+'пеня 2023'!M63+'пеня 2023'!Q63</f>
        <v>64816.439999999995</v>
      </c>
      <c r="F31" s="503">
        <f>'пеня 2023'!F63+'пеня 2023'!J63+'пеня 2023'!N63+'пеня 2023'!S63</f>
        <v>74351.32</v>
      </c>
      <c r="G31" s="502">
        <f>'пеня 2023'!C94+'пеня 2023'!H94+'пеня 2023'!L94+'пеня 2023'!P94</f>
        <v>64513.84</v>
      </c>
      <c r="H31" s="27">
        <f>'пеня 2023'!D94+'пеня 2023'!I94+'пеня 2023'!M94+'пеня 2023'!R94</f>
        <v>50474.23</v>
      </c>
      <c r="I31" s="28">
        <f>'пеня 2023'!C125+'пеня 2023'!H125+'пеня 2023'!L125+'пеня 2023'!P125</f>
        <v>64923.97</v>
      </c>
      <c r="J31" s="29">
        <f>'пеня 2023'!D125+'пеня 2023'!I125+'пеня 2023'!M125+'пеня 2023'!R125</f>
        <v>84760.29000000001</v>
      </c>
      <c r="K31" s="3">
        <f>'пеня 2023'!C156+'пеня 2023'!H156+'пеня 2023'!L156+'пеня 2023'!P156</f>
        <v>65168.61</v>
      </c>
      <c r="L31" s="20">
        <f>'пеня 2023'!D156+'пеня 2023'!I156+'пеня 2023'!M156+'пеня 2023'!R156</f>
        <v>90555.54</v>
      </c>
      <c r="M31" s="1474">
        <f>'пеня 2023'!C187+'пеня 2023'!H187+'пеня 2023'!L187+'пеня 2023'!P187</f>
        <v>64790.729999999996</v>
      </c>
      <c r="N31" s="1475">
        <f>'пеня 2023'!D187+'пеня 2023'!I187+'пеня 2023'!M187+'пеня 2023'!R187</f>
        <v>55800.079999999994</v>
      </c>
      <c r="O31" s="7">
        <f>'пеня 2023'!C218+'пеня 2023'!H218+'пеня 2023'!L218+'пеня 2023'!P218</f>
        <v>67104.9</v>
      </c>
      <c r="P31" s="35">
        <f>'пеня 2023'!D218+'пеня 2023'!I218+'пеня 2023'!M218+'пеня 2023'!R218</f>
        <v>126817.23</v>
      </c>
      <c r="Q31" s="1403">
        <f t="shared" si="0"/>
        <v>391318.49</v>
      </c>
      <c r="R31" s="223">
        <f t="shared" si="1"/>
        <v>482758.69</v>
      </c>
      <c r="S31" s="255">
        <f t="shared" si="2"/>
        <v>-91440.19999999998</v>
      </c>
      <c r="T31" s="10">
        <f t="shared" si="3"/>
        <v>6805839.490000001</v>
      </c>
      <c r="U31" s="43">
        <f t="shared" si="3"/>
        <v>5907166.410000002</v>
      </c>
      <c r="V31" s="10">
        <f t="shared" si="4"/>
        <v>898673.0799999991</v>
      </c>
      <c r="W31" s="256"/>
      <c r="X31" s="142"/>
    </row>
    <row r="32" spans="1:24" ht="15.75" thickBot="1">
      <c r="A32" s="1274" t="s">
        <v>317</v>
      </c>
      <c r="B32" s="1275">
        <v>7290109.600000001</v>
      </c>
      <c r="C32" s="1276">
        <v>5466495.369999999</v>
      </c>
      <c r="D32" s="343">
        <v>1823614.2300000014</v>
      </c>
      <c r="E32" s="1277">
        <f>'пеня 2023'!C64+'пеня 2023'!I64+'пеня 2023'!M64+'пеня 2023'!Q64</f>
        <v>70399.37999999999</v>
      </c>
      <c r="F32" s="503">
        <f>'пеня 2023'!F64+'пеня 2023'!J64+'пеня 2023'!N64+'пеня 2023'!S64</f>
        <v>146391.4</v>
      </c>
      <c r="G32" s="1277">
        <f>'пеня 2023'!C95+'пеня 2023'!H95+'пеня 2023'!L95+'пеня 2023'!P95</f>
        <v>71060.59000000001</v>
      </c>
      <c r="H32" s="1278">
        <f>'пеня 2023'!D95+'пеня 2023'!I95+'пеня 2023'!M95+'пеня 2023'!R95</f>
        <v>163186.93</v>
      </c>
      <c r="I32" s="28">
        <f>'пеня 2023'!C126+'пеня 2023'!H126+'пеня 2023'!L126+'пеня 2023'!P126</f>
        <v>72176.90000000001</v>
      </c>
      <c r="J32" s="1279">
        <f>'пеня 2023'!D126+'пеня 2023'!I126+'пеня 2023'!M126+'пеня 2023'!R126</f>
        <v>218801.19</v>
      </c>
      <c r="K32" s="142">
        <f>'пеня 2023'!C157+'пеня 2023'!H157+'пеня 2023'!L157+'пеня 2023'!P157</f>
        <v>71651.07</v>
      </c>
      <c r="L32" s="20">
        <f>'пеня 2023'!D157+'пеня 2023'!I157+'пеня 2023'!M157+'пеня 2023'!R157</f>
        <v>145299.57</v>
      </c>
      <c r="M32" s="1482">
        <f>'пеня 2023'!C188+'пеня 2023'!H188+'пеня 2023'!L188+'пеня 2023'!P188</f>
        <v>71872.04000000001</v>
      </c>
      <c r="N32" s="1483">
        <f>'пеня 2023'!D188+'пеня 2023'!I188+'пеня 2023'!M188+'пеня 2023'!R188</f>
        <v>128572.54999999999</v>
      </c>
      <c r="O32" s="7">
        <f>'пеня 2023'!C219+'пеня 2023'!H219+'пеня 2023'!L219+'пеня 2023'!P219</f>
        <v>72971.91</v>
      </c>
      <c r="P32" s="35">
        <f>'пеня 2023'!D219+'пеня 2023'!I219+'пеня 2023'!M219+'пеня 2023'!R219</f>
        <v>189579.31</v>
      </c>
      <c r="Q32" s="1403">
        <f t="shared" si="0"/>
        <v>430131.89</v>
      </c>
      <c r="R32" s="223">
        <f t="shared" si="1"/>
        <v>991830.9500000002</v>
      </c>
      <c r="S32" s="255">
        <f t="shared" si="2"/>
        <v>-561699.06</v>
      </c>
      <c r="T32" s="10">
        <f>B32+E32+G32+I32+K32+M32+O32</f>
        <v>7720241.490000001</v>
      </c>
      <c r="U32" s="43">
        <f>C32+F32+H32+J32+L32+N32+P32</f>
        <v>6458326.319999999</v>
      </c>
      <c r="V32" s="10">
        <f t="shared" si="4"/>
        <v>1261915.1700000018</v>
      </c>
      <c r="W32" s="1286"/>
      <c r="X32" s="142"/>
    </row>
    <row r="33" spans="1:24" ht="15.75" thickBot="1">
      <c r="A33" s="1280" t="s">
        <v>21</v>
      </c>
      <c r="B33" s="1281">
        <f aca="true" t="shared" si="5" ref="B33:L33">SUM(B6:B32)</f>
        <v>104923664.17</v>
      </c>
      <c r="C33" s="1282">
        <f t="shared" si="5"/>
        <v>97960168.63000001</v>
      </c>
      <c r="D33" s="1282">
        <f t="shared" si="5"/>
        <v>6963495.540000003</v>
      </c>
      <c r="E33" s="1283">
        <f t="shared" si="5"/>
        <v>1121691.19</v>
      </c>
      <c r="F33" s="1283">
        <f t="shared" si="5"/>
        <v>1008557.8900000002</v>
      </c>
      <c r="G33" s="1284">
        <f t="shared" si="5"/>
        <v>1121482.2000000002</v>
      </c>
      <c r="H33" s="1284">
        <f t="shared" si="5"/>
        <v>1138514.4000000001</v>
      </c>
      <c r="I33" s="1284">
        <f>SUM(I6:I32)</f>
        <v>1126500.22</v>
      </c>
      <c r="J33" s="1285">
        <f>SUM(J6:J32)</f>
        <v>1342596.15</v>
      </c>
      <c r="K33" s="1287">
        <f t="shared" si="5"/>
        <v>1124923.7600000002</v>
      </c>
      <c r="L33" s="1288">
        <f t="shared" si="5"/>
        <v>1222005.9200000002</v>
      </c>
      <c r="M33" s="1537">
        <f aca="true" t="shared" si="6" ref="M33:U33">SUM(M6:M32)</f>
        <v>1132219.1300000001</v>
      </c>
      <c r="N33" s="1537">
        <f t="shared" si="6"/>
        <v>1202460.75</v>
      </c>
      <c r="O33" s="1089">
        <f t="shared" si="6"/>
        <v>1128812.42</v>
      </c>
      <c r="P33" s="1090">
        <f t="shared" si="6"/>
        <v>1321369.61</v>
      </c>
      <c r="Q33" s="1404">
        <f t="shared" si="6"/>
        <v>6755628.919999999</v>
      </c>
      <c r="R33" s="781">
        <f t="shared" si="6"/>
        <v>7235504.720000001</v>
      </c>
      <c r="S33" s="782">
        <f t="shared" si="6"/>
        <v>-479875.80000000005</v>
      </c>
      <c r="T33" s="1289">
        <f t="shared" si="6"/>
        <v>111679293.09</v>
      </c>
      <c r="U33" s="1289">
        <f t="shared" si="6"/>
        <v>105195673.35</v>
      </c>
      <c r="V33" s="1290">
        <f t="shared" si="4"/>
        <v>6483619.74000001</v>
      </c>
      <c r="W33" s="1290">
        <f>SUM(W8:W28)</f>
        <v>0</v>
      </c>
      <c r="X33" s="1291">
        <f>SUM(X8:X28)</f>
        <v>0</v>
      </c>
    </row>
    <row r="34" spans="4:29" ht="19.5" thickBot="1">
      <c r="D34" s="39"/>
      <c r="AB34" s="56"/>
      <c r="AC34" s="55"/>
    </row>
    <row r="35" spans="1:30" ht="30" customHeight="1">
      <c r="A35" s="13" t="s">
        <v>1</v>
      </c>
      <c r="B35" s="1688" t="s">
        <v>449</v>
      </c>
      <c r="C35" s="1689"/>
      <c r="D35" s="1690"/>
      <c r="E35" s="1692" t="s">
        <v>41</v>
      </c>
      <c r="F35" s="1706"/>
      <c r="G35" s="1694" t="s">
        <v>42</v>
      </c>
      <c r="H35" s="1707"/>
      <c r="I35" s="1682" t="s">
        <v>43</v>
      </c>
      <c r="J35" s="1683"/>
      <c r="K35" s="1684" t="s">
        <v>44</v>
      </c>
      <c r="L35" s="1685"/>
      <c r="M35" s="1734" t="s">
        <v>45</v>
      </c>
      <c r="N35" s="1735"/>
      <c r="O35" s="1686" t="s">
        <v>46</v>
      </c>
      <c r="P35" s="1687"/>
      <c r="Q35" s="1703" t="s">
        <v>438</v>
      </c>
      <c r="R35" s="1704"/>
      <c r="S35" s="1705"/>
      <c r="T35" s="1679" t="s">
        <v>448</v>
      </c>
      <c r="U35" s="1680"/>
      <c r="V35" s="1680"/>
      <c r="W35" s="1680"/>
      <c r="X35" s="1681"/>
      <c r="Y35" s="141"/>
      <c r="Z35" s="208"/>
      <c r="AA35" s="1206" t="s">
        <v>1</v>
      </c>
      <c r="AB35" s="196"/>
      <c r="AC35" s="196"/>
      <c r="AD35" s="54"/>
    </row>
    <row r="36" spans="1:29" ht="15">
      <c r="A36" s="15"/>
      <c r="B36" s="16" t="s">
        <v>5</v>
      </c>
      <c r="C36" s="16" t="s">
        <v>6</v>
      </c>
      <c r="D36" s="17" t="s">
        <v>34</v>
      </c>
      <c r="E36" s="18" t="s">
        <v>33</v>
      </c>
      <c r="F36" s="19" t="s">
        <v>6</v>
      </c>
      <c r="G36" s="21" t="s">
        <v>33</v>
      </c>
      <c r="H36" s="22" t="s">
        <v>6</v>
      </c>
      <c r="I36" s="23" t="s">
        <v>33</v>
      </c>
      <c r="J36" s="24" t="s">
        <v>6</v>
      </c>
      <c r="K36" s="18" t="s">
        <v>33</v>
      </c>
      <c r="L36" s="19" t="s">
        <v>6</v>
      </c>
      <c r="M36" s="1480" t="s">
        <v>33</v>
      </c>
      <c r="N36" s="1481" t="s">
        <v>6</v>
      </c>
      <c r="O36" s="25" t="s">
        <v>33</v>
      </c>
      <c r="P36" s="33" t="s">
        <v>6</v>
      </c>
      <c r="Q36" s="30" t="s">
        <v>36</v>
      </c>
      <c r="R36" s="30" t="s">
        <v>26</v>
      </c>
      <c r="S36" s="31" t="s">
        <v>37</v>
      </c>
      <c r="T36" s="221" t="s">
        <v>33</v>
      </c>
      <c r="U36" s="218" t="s">
        <v>102</v>
      </c>
      <c r="V36" s="26" t="s">
        <v>34</v>
      </c>
      <c r="W36" s="37" t="s">
        <v>39</v>
      </c>
      <c r="X36" s="38"/>
      <c r="Y36" s="193"/>
      <c r="Z36" s="209"/>
      <c r="AA36" s="658"/>
      <c r="AB36" s="744" t="s">
        <v>209</v>
      </c>
      <c r="AC36" s="52"/>
    </row>
    <row r="37" spans="1:30" ht="15">
      <c r="A37" s="326" t="s">
        <v>47</v>
      </c>
      <c r="B37" s="254">
        <f>T6</f>
        <v>1953644.9099999997</v>
      </c>
      <c r="C37" s="254">
        <f>U6</f>
        <v>1906424.960000001</v>
      </c>
      <c r="D37" s="327">
        <f>V6</f>
        <v>47219.94999999879</v>
      </c>
      <c r="E37" s="1400">
        <f>'пеня 2023'!C225+'пеня 2023'!H225+'пеня 2023'!L225+'пеня 2023'!P225</f>
        <v>21312.64</v>
      </c>
      <c r="F37" s="1401">
        <f>'пеня 2023'!D225+'пеня 2023'!I225+'пеня 2023'!M225+'пеня 2023'!R225</f>
        <v>18335.57</v>
      </c>
      <c r="G37" s="48">
        <f>'пеня 2023'!C257+'пеня 2023'!H257+'пеня 2023'!L257+'пеня 2023'!P257</f>
        <v>21335.16</v>
      </c>
      <c r="H37" s="61">
        <f>'пеня 2023'!D257+'пеня 2023'!I257+'пеня 2023'!M257+'пеня 2023'!R257</f>
        <v>18367.54</v>
      </c>
      <c r="I37" s="1476">
        <f>'пеня 2023'!C289+'пеня 2023'!H289+'пеня 2023'!L289+'пеня 2023'!P289</f>
        <v>21382.54</v>
      </c>
      <c r="J37" s="1477">
        <f>'пеня 2023'!D289+'пеня 2023'!I289+'пеня 2023'!M289+'пеня 2023'!R289</f>
        <v>39720.88</v>
      </c>
      <c r="K37" s="1478">
        <f>'пеня 2023'!C322+'пеня 2023'!H322+'пеня 2023'!L322+'пеня 2023'!P322</f>
        <v>21492.58</v>
      </c>
      <c r="L37" s="1479">
        <f>'пеня 2023'!D322+'пеня 2023'!I322+'пеня 2023'!M322+'пеня 2023'!R322</f>
        <v>46405.81</v>
      </c>
      <c r="M37" s="1474">
        <f>'пеня 2023'!C353+'пеня 2023'!H353+'пеня 2023'!L353+'пеня 2023'!P353</f>
        <v>21422.74</v>
      </c>
      <c r="N37" s="1475">
        <f>'пеня 2023'!D353+'пеня 2023'!I353+'пеня 2023'!M353+'пеня 2023'!R353</f>
        <v>19754.05</v>
      </c>
      <c r="O37" s="48">
        <f>'пеня 2023'!C385+'пеня 2023'!H385+'пеня 2023'!L385+'пеня 2023'!P385</f>
        <v>21490.340000000004</v>
      </c>
      <c r="P37" s="48">
        <f>'пеня 2023'!D385+'пеня 2023'!I385+'пеня 2023'!M385+'пеня 2023'!R385</f>
        <v>30380.289999999997</v>
      </c>
      <c r="Q37" s="273">
        <f>Q6+E37+G37+I37+K37+M37+O37</f>
        <v>257093.4</v>
      </c>
      <c r="R37" s="273">
        <f>R6+F37+H37+J37+L37+N37+P37</f>
        <v>285402.52</v>
      </c>
      <c r="S37" s="60">
        <f>Q37-R37</f>
        <v>-28309.120000000024</v>
      </c>
      <c r="T37" s="219">
        <f aca="true" t="shared" si="7" ref="T37:T63">B6+E6+G6+I6+K6+M6+O6+E37+G37+I37+K37+M37+O37</f>
        <v>2082080.9099999997</v>
      </c>
      <c r="U37" s="220">
        <f>C6+F6+H6+J6+L6+N6+P6+F37+H37+J37+L37+N37+P37</f>
        <v>2079389.100000001</v>
      </c>
      <c r="V37" s="48">
        <f>T37-U37</f>
        <v>2691.809999998659</v>
      </c>
      <c r="W37" s="655">
        <v>505000</v>
      </c>
      <c r="X37" s="48"/>
      <c r="Y37" s="194"/>
      <c r="Z37" s="210"/>
      <c r="AA37" s="659" t="s">
        <v>47</v>
      </c>
      <c r="AB37" s="743">
        <f>U37/T37*100</f>
        <v>99.87071539885552</v>
      </c>
      <c r="AC37" s="51"/>
      <c r="AD37" s="39"/>
    </row>
    <row r="38" spans="1:30" ht="15">
      <c r="A38" s="326" t="s">
        <v>53</v>
      </c>
      <c r="B38" s="254">
        <f aca="true" t="shared" si="8" ref="B38:B63">T7</f>
        <v>3557280.1900000004</v>
      </c>
      <c r="C38" s="254">
        <f aca="true" t="shared" si="9" ref="C38:C63">U7</f>
        <v>3146173.5899999994</v>
      </c>
      <c r="D38" s="327">
        <f aca="true" t="shared" si="10" ref="D38:D63">V7</f>
        <v>411106.600000001</v>
      </c>
      <c r="E38" s="1400">
        <f>'пеня 2023'!C226+'пеня 2023'!H226+'пеня 2023'!L226+'пеня 2023'!P226</f>
        <v>34358.97</v>
      </c>
      <c r="F38" s="1401">
        <f>'пеня 2023'!D226+'пеня 2023'!I226+'пеня 2023'!M226+'пеня 2023'!R226</f>
        <v>33113.899999999994</v>
      </c>
      <c r="G38" s="48">
        <f>'пеня 2023'!C258+'пеня 2023'!H258+'пеня 2023'!L258+'пеня 2023'!P258</f>
        <v>34325.700000000004</v>
      </c>
      <c r="H38" s="61">
        <f>'пеня 2023'!D258+'пеня 2023'!I258+'пеня 2023'!M258+'пеня 2023'!R258</f>
        <v>32065.530000000002</v>
      </c>
      <c r="I38" s="1476">
        <f>'пеня 2023'!C290+'пеня 2023'!H290+'пеня 2023'!L290+'пеня 2023'!P290</f>
        <v>34362.38</v>
      </c>
      <c r="J38" s="1477">
        <f>'пеня 2023'!D290+'пеня 2023'!I290+'пеня 2023'!M290+'пеня 2023'!R290</f>
        <v>34810.02</v>
      </c>
      <c r="K38" s="1478">
        <f>'пеня 2023'!C323+'пеня 2023'!H323+'пеня 2023'!L323+'пеня 2023'!P323</f>
        <v>34414.22</v>
      </c>
      <c r="L38" s="1479">
        <f>'пеня 2023'!D323+'пеня 2023'!I323+'пеня 2023'!M323+'пеня 2023'!R323</f>
        <v>42888.369999999995</v>
      </c>
      <c r="M38" s="1474">
        <f>'пеня 2023'!C354+'пеня 2023'!H354+'пеня 2023'!L354+'пеня 2023'!P354</f>
        <v>34395.57</v>
      </c>
      <c r="N38" s="1475">
        <f>'пеня 2023'!D354+'пеня 2023'!I354+'пеня 2023'!M354+'пеня 2023'!R354</f>
        <v>29405.329999999998</v>
      </c>
      <c r="O38" s="48">
        <f>'пеня 2023'!C386+'пеня 2023'!H386+'пеня 2023'!L386+'пеня 2023'!P386</f>
        <v>34361.53</v>
      </c>
      <c r="P38" s="48">
        <f>'пеня 2023'!D386+'пеня 2023'!I386+'пеня 2023'!M386+'пеня 2023'!R386</f>
        <v>41068.23</v>
      </c>
      <c r="Q38" s="273">
        <f aca="true" t="shared" si="11" ref="Q38:Q63">Q7+E38+G38+I38+K38+M38+O38</f>
        <v>412179.33999999997</v>
      </c>
      <c r="R38" s="273">
        <f aca="true" t="shared" si="12" ref="R38:R63">R7+F38+H38+J38+L38+N38+P38</f>
        <v>400837.33999999997</v>
      </c>
      <c r="S38" s="60">
        <f aca="true" t="shared" si="13" ref="S38:S63">Q38-R38</f>
        <v>11342</v>
      </c>
      <c r="T38" s="219">
        <f t="shared" si="7"/>
        <v>3763498.5600000005</v>
      </c>
      <c r="U38" s="220">
        <f aca="true" t="shared" si="14" ref="U38:U63">C7+F7+H7+J7+L7+N7+P7+F38+H38+J38+L38+N38+P38</f>
        <v>3359524.9699999993</v>
      </c>
      <c r="V38" s="47">
        <f>T38-U38</f>
        <v>403973.59000000125</v>
      </c>
      <c r="W38" s="656">
        <f>722339.37+589185.14+46952.33</f>
        <v>1358476.84</v>
      </c>
      <c r="X38" s="48"/>
      <c r="Y38" s="195"/>
      <c r="Z38" s="211"/>
      <c r="AA38" s="659" t="s">
        <v>53</v>
      </c>
      <c r="AB38" s="743">
        <f aca="true" t="shared" si="15" ref="AB38:AB61">U38/T38*100</f>
        <v>89.26600917843844</v>
      </c>
      <c r="AC38" s="51"/>
      <c r="AD38" s="39"/>
    </row>
    <row r="39" spans="1:30" ht="15">
      <c r="A39" s="326" t="s">
        <v>8</v>
      </c>
      <c r="B39" s="254">
        <f t="shared" si="8"/>
        <v>1574413.77</v>
      </c>
      <c r="C39" s="254">
        <f t="shared" si="9"/>
        <v>1506126.7</v>
      </c>
      <c r="D39" s="327">
        <f t="shared" si="10"/>
        <v>68287.07000000007</v>
      </c>
      <c r="E39" s="1400">
        <f>'пеня 2023'!C227+'пеня 2023'!H227+'пеня 2023'!L227+'пеня 2023'!P227</f>
        <v>0</v>
      </c>
      <c r="F39" s="1401">
        <f>'пеня 2023'!D227+'пеня 2023'!I227+'пеня 2023'!M227+'пеня 2023'!R227</f>
        <v>0</v>
      </c>
      <c r="G39" s="48">
        <f>'пеня 2023'!C259+'пеня 2023'!H259+'пеня 2023'!L259+'пеня 2023'!P259</f>
        <v>0</v>
      </c>
      <c r="H39" s="61">
        <f>'пеня 2023'!D259+'пеня 2023'!I259+'пеня 2023'!M259+'пеня 2023'!R259</f>
        <v>0</v>
      </c>
      <c r="I39" s="1476">
        <f>'пеня 2023'!C291+'пеня 2023'!H291+'пеня 2023'!L291+'пеня 2023'!P291</f>
        <v>0</v>
      </c>
      <c r="J39" s="1477">
        <f>'пеня 2023'!D291+'пеня 2023'!I291+'пеня 2023'!M291+'пеня 2023'!R291</f>
        <v>0</v>
      </c>
      <c r="K39" s="1478">
        <f>'пеня 2023'!C324+'пеня 2023'!H324+'пеня 2023'!L324+'пеня 2023'!P324</f>
        <v>0</v>
      </c>
      <c r="L39" s="1479">
        <f>'пеня 2023'!D324+'пеня 2023'!I324+'пеня 2023'!M324+'пеня 2023'!R324</f>
        <v>0</v>
      </c>
      <c r="M39" s="1474">
        <f>'пеня 2023'!C355+'пеня 2023'!H355+'пеня 2023'!L355+'пеня 2023'!P355</f>
        <v>0</v>
      </c>
      <c r="N39" s="1475">
        <f>'пеня 2023'!D355+'пеня 2023'!I355+'пеня 2023'!M355+'пеня 2023'!R355</f>
        <v>0</v>
      </c>
      <c r="O39" s="48">
        <f>'пеня 2023'!C387+'пеня 2023'!H387+'пеня 2023'!L387+'пеня 2023'!P387</f>
        <v>0</v>
      </c>
      <c r="P39" s="48">
        <f>'пеня 2023'!D387+'пеня 2023'!I387+'пеня 2023'!M387+'пеня 2023'!R387</f>
        <v>0</v>
      </c>
      <c r="Q39" s="273">
        <f t="shared" si="11"/>
        <v>0</v>
      </c>
      <c r="R39" s="273">
        <f t="shared" si="12"/>
        <v>0</v>
      </c>
      <c r="S39" s="60">
        <f t="shared" si="13"/>
        <v>0</v>
      </c>
      <c r="T39" s="219">
        <f t="shared" si="7"/>
        <v>1574413.77</v>
      </c>
      <c r="U39" s="220">
        <f t="shared" si="14"/>
        <v>1506126.7</v>
      </c>
      <c r="V39" s="48">
        <f>T39-U39</f>
        <v>68287.07000000007</v>
      </c>
      <c r="W39" s="62"/>
      <c r="X39" s="48"/>
      <c r="Y39" s="194"/>
      <c r="Z39" s="210"/>
      <c r="AA39" s="659" t="s">
        <v>8</v>
      </c>
      <c r="AB39" s="743">
        <f t="shared" si="15"/>
        <v>95.66269863099583</v>
      </c>
      <c r="AC39" s="51"/>
      <c r="AD39" s="39"/>
    </row>
    <row r="40" spans="1:30" ht="15.75" thickBot="1">
      <c r="A40" s="326" t="s">
        <v>51</v>
      </c>
      <c r="B40" s="254">
        <f t="shared" si="8"/>
        <v>8570719.009999998</v>
      </c>
      <c r="C40" s="254">
        <f t="shared" si="9"/>
        <v>7623534.479999999</v>
      </c>
      <c r="D40" s="327">
        <f t="shared" si="10"/>
        <v>947184.5299999993</v>
      </c>
      <c r="E40" s="1400">
        <f>'пеня 2023'!C228+'пеня 2023'!H228+'пеня 2023'!L228+'пеня 2023'!P228</f>
        <v>84459.35999999999</v>
      </c>
      <c r="F40" s="1401">
        <f>'пеня 2023'!D228+'пеня 2023'!I228+'пеня 2023'!M228+'пеня 2023'!R228</f>
        <v>82262.34</v>
      </c>
      <c r="G40" s="48">
        <f>'пеня 2023'!C260+'пеня 2023'!H260+'пеня 2023'!L260+'пеня 2023'!P260</f>
        <v>85206.76</v>
      </c>
      <c r="H40" s="61">
        <f>'пеня 2023'!D260+'пеня 2023'!I260+'пеня 2023'!M260+'пеня 2023'!R260</f>
        <v>74793.48999999999</v>
      </c>
      <c r="I40" s="1476">
        <f>'пеня 2023'!C292+'пеня 2023'!H292+'пеня 2023'!L292+'пеня 2023'!P292</f>
        <v>85245.03</v>
      </c>
      <c r="J40" s="1477">
        <f>'пеня 2023'!D292+'пеня 2023'!I292+'пеня 2023'!M292+'пеня 2023'!R292</f>
        <v>107488.76</v>
      </c>
      <c r="K40" s="1478">
        <f>'пеня 2023'!C325+'пеня 2023'!H325+'пеня 2023'!L325+'пеня 2023'!P325</f>
        <v>85092.63</v>
      </c>
      <c r="L40" s="1479">
        <f>'пеня 2023'!D325+'пеня 2023'!I325+'пеня 2023'!M325+'пеня 2023'!R325</f>
        <v>107607.92</v>
      </c>
      <c r="M40" s="1474">
        <f>'пеня 2023'!C356+'пеня 2023'!H356+'пеня 2023'!L356+'пеня 2023'!P356</f>
        <v>85050.75000000001</v>
      </c>
      <c r="N40" s="1475">
        <f>'пеня 2023'!D356+'пеня 2023'!I356+'пеня 2023'!M356+'пеня 2023'!R356</f>
        <v>82296.09</v>
      </c>
      <c r="O40" s="48">
        <f>'пеня 2023'!C388+'пеня 2023'!H388+'пеня 2023'!L388+'пеня 2023'!P388</f>
        <v>85470.55</v>
      </c>
      <c r="P40" s="48">
        <f>'пеня 2023'!D388+'пеня 2023'!I388+'пеня 2023'!M388+'пеня 2023'!R388</f>
        <v>105185.35</v>
      </c>
      <c r="Q40" s="273">
        <f t="shared" si="11"/>
        <v>1022339.9700000001</v>
      </c>
      <c r="R40" s="273">
        <f t="shared" si="12"/>
        <v>1027510.2</v>
      </c>
      <c r="S40" s="60">
        <f t="shared" si="13"/>
        <v>-5170.229999999865</v>
      </c>
      <c r="T40" s="219">
        <f t="shared" si="7"/>
        <v>9081244.089999998</v>
      </c>
      <c r="U40" s="220">
        <f t="shared" si="14"/>
        <v>8183168.429999998</v>
      </c>
      <c r="V40" s="47">
        <f>T40-U40</f>
        <v>898075.6600000001</v>
      </c>
      <c r="W40" s="656">
        <f>2356369.7+1517140+2032724</f>
        <v>5906233.7</v>
      </c>
      <c r="X40" s="48"/>
      <c r="Y40" s="197"/>
      <c r="Z40" s="212"/>
      <c r="AA40" s="659" t="s">
        <v>51</v>
      </c>
      <c r="AB40" s="743">
        <f t="shared" si="15"/>
        <v>90.11065388068431</v>
      </c>
      <c r="AC40" s="51"/>
      <c r="AD40" s="39"/>
    </row>
    <row r="41" spans="1:30" ht="15">
      <c r="A41" s="44" t="s">
        <v>9</v>
      </c>
      <c r="B41" s="254">
        <f t="shared" si="8"/>
        <v>2089745.4299999995</v>
      </c>
      <c r="C41" s="254">
        <f t="shared" si="9"/>
        <v>1958530.7899999996</v>
      </c>
      <c r="D41" s="327">
        <f t="shared" si="10"/>
        <v>131214.6399999999</v>
      </c>
      <c r="E41" s="1400">
        <f>'пеня 2023'!C229+'пеня 2023'!H229+'пеня 2023'!L229+'пеня 2023'!P229</f>
        <v>21990.810000000005</v>
      </c>
      <c r="F41" s="1401">
        <f>'пеня 2023'!D229+'пеня 2023'!I229+'пеня 2023'!M229+'пеня 2023'!R229</f>
        <v>18255.39</v>
      </c>
      <c r="G41" s="48">
        <f>'пеня 2023'!C261+'пеня 2023'!H261+'пеня 2023'!L261+'пеня 2023'!P261</f>
        <v>22065.360000000004</v>
      </c>
      <c r="H41" s="61">
        <f>'пеня 2023'!D261+'пеня 2023'!I261+'пеня 2023'!M261+'пеня 2023'!R261</f>
        <v>17353.39</v>
      </c>
      <c r="I41" s="1476">
        <f>'пеня 2023'!C293+'пеня 2023'!H293+'пеня 2023'!L293+'пеня 2023'!P293</f>
        <v>22025.740000000005</v>
      </c>
      <c r="J41" s="1477">
        <f>'пеня 2023'!D293+'пеня 2023'!I293+'пеня 2023'!M293+'пеня 2023'!R293</f>
        <v>43091.649999999994</v>
      </c>
      <c r="K41" s="1478">
        <f>'пеня 2023'!C326+'пеня 2023'!H326+'пеня 2023'!L326+'пеня 2023'!P326</f>
        <v>21995.280000000002</v>
      </c>
      <c r="L41" s="1479">
        <f>'пеня 2023'!D326+'пеня 2023'!I326+'пеня 2023'!M326+'пеня 2023'!R326</f>
        <v>49995.91</v>
      </c>
      <c r="M41" s="1474">
        <f>'пеня 2023'!C357+'пеня 2023'!H357+'пеня 2023'!L357+'пеня 2023'!P357</f>
        <v>22218.97</v>
      </c>
      <c r="N41" s="1475">
        <f>'пеня 2023'!D357+'пеня 2023'!I357+'пеня 2023'!M357+'пеня 2023'!R357</f>
        <v>21869.480000000003</v>
      </c>
      <c r="O41" s="48">
        <f>'пеня 2023'!C389+'пеня 2023'!H389+'пеня 2023'!L389+'пеня 2023'!P389</f>
        <v>22124.32</v>
      </c>
      <c r="P41" s="48">
        <f>'пеня 2023'!D389+'пеня 2023'!I389+'пеня 2023'!M389+'пеня 2023'!R389</f>
        <v>23612.07</v>
      </c>
      <c r="Q41" s="273">
        <f t="shared" si="11"/>
        <v>264377.32000000007</v>
      </c>
      <c r="R41" s="273">
        <f t="shared" si="12"/>
        <v>289935.31</v>
      </c>
      <c r="S41" s="60">
        <f t="shared" si="13"/>
        <v>-25557.989999999932</v>
      </c>
      <c r="T41" s="219">
        <f t="shared" si="7"/>
        <v>2222165.909999999</v>
      </c>
      <c r="U41" s="220">
        <f t="shared" si="14"/>
        <v>2132708.6799999992</v>
      </c>
      <c r="V41" s="10">
        <f aca="true" t="shared" si="16" ref="V41:V62">T41-U41</f>
        <v>89457.22999999998</v>
      </c>
      <c r="W41" s="36"/>
      <c r="X41" s="48"/>
      <c r="Y41" s="204"/>
      <c r="Z41" s="213"/>
      <c r="AA41" s="660" t="s">
        <v>9</v>
      </c>
      <c r="AB41" s="743">
        <f t="shared" si="15"/>
        <v>95.9743226373228</v>
      </c>
      <c r="AC41" s="51"/>
      <c r="AD41" s="39"/>
    </row>
    <row r="42" spans="1:30" ht="15">
      <c r="A42" s="44" t="s">
        <v>10</v>
      </c>
      <c r="B42" s="254">
        <f t="shared" si="8"/>
        <v>835503.73</v>
      </c>
      <c r="C42" s="254">
        <f t="shared" si="9"/>
        <v>829560.9099999998</v>
      </c>
      <c r="D42" s="327">
        <f t="shared" si="10"/>
        <v>5942.820000000182</v>
      </c>
      <c r="E42" s="1400">
        <f>'пеня 2023'!C230+'пеня 2023'!H230+'пеня 2023'!L230+'пеня 2023'!P230</f>
        <v>8796.01</v>
      </c>
      <c r="F42" s="1401">
        <f>'пеня 2023'!D230+'пеня 2023'!I230+'пеня 2023'!M230+'пеня 2023'!R230</f>
        <v>8379.89</v>
      </c>
      <c r="G42" s="48">
        <f>'пеня 2023'!C262+'пеня 2023'!H262+'пеня 2023'!L262+'пеня 2023'!P262</f>
        <v>8796.01</v>
      </c>
      <c r="H42" s="61">
        <f>'пеня 2023'!D262+'пеня 2023'!I262+'пеня 2023'!M262+'пеня 2023'!R262</f>
        <v>8075.65</v>
      </c>
      <c r="I42" s="1476">
        <f>'пеня 2023'!C294+'пеня 2023'!H294+'пеня 2023'!L294+'пеня 2023'!P294</f>
        <v>8796.27</v>
      </c>
      <c r="J42" s="1477">
        <f>'пеня 2023'!D294+'пеня 2023'!I294+'пеня 2023'!M294+'пеня 2023'!R294</f>
        <v>8306.300000000001</v>
      </c>
      <c r="K42" s="1478">
        <f>'пеня 2023'!C327+'пеня 2023'!H327+'пеня 2023'!L327+'пеня 2023'!P327</f>
        <v>8796.01</v>
      </c>
      <c r="L42" s="1479">
        <f>'пеня 2023'!D327+'пеня 2023'!I327+'пеня 2023'!M327+'пеня 2023'!R327</f>
        <v>8735.02</v>
      </c>
      <c r="M42" s="1474">
        <f>'пеня 2023'!C358+'пеня 2023'!H358+'пеня 2023'!L358+'пеня 2023'!P358</f>
        <v>8817.23</v>
      </c>
      <c r="N42" s="1475">
        <f>'пеня 2023'!D358+'пеня 2023'!I358+'пеня 2023'!M358+'пеня 2023'!R358</f>
        <v>9096.06</v>
      </c>
      <c r="O42" s="48">
        <f>'пеня 2023'!C390+'пеня 2023'!H390+'пеня 2023'!L390+'пеня 2023'!P390</f>
        <v>8796.01</v>
      </c>
      <c r="P42" s="48">
        <f>'пеня 2023'!D390+'пеня 2023'!I390+'пеня 2023'!M390+'пеня 2023'!R390</f>
        <v>8301.15</v>
      </c>
      <c r="Q42" s="273">
        <f t="shared" si="11"/>
        <v>105644.80999999998</v>
      </c>
      <c r="R42" s="273">
        <f t="shared" si="12"/>
        <v>102613.79</v>
      </c>
      <c r="S42" s="60">
        <f>Q42-R42</f>
        <v>3031.0199999999895</v>
      </c>
      <c r="T42" s="219">
        <f t="shared" si="7"/>
        <v>888301.27</v>
      </c>
      <c r="U42" s="220">
        <f t="shared" si="14"/>
        <v>880454.98</v>
      </c>
      <c r="V42" s="10">
        <f t="shared" si="16"/>
        <v>7846.290000000037</v>
      </c>
      <c r="W42" s="663">
        <f>126001+118416+247608.54</f>
        <v>492025.54000000004</v>
      </c>
      <c r="X42" s="48"/>
      <c r="Y42" s="205"/>
      <c r="Z42" s="214"/>
      <c r="AA42" s="660" t="s">
        <v>10</v>
      </c>
      <c r="AB42" s="743">
        <f t="shared" si="15"/>
        <v>99.11670845635513</v>
      </c>
      <c r="AC42" s="51"/>
      <c r="AD42" s="39"/>
    </row>
    <row r="43" spans="1:30" ht="15">
      <c r="A43" s="328" t="s">
        <v>11</v>
      </c>
      <c r="B43" s="254">
        <f t="shared" si="8"/>
        <v>832166.45</v>
      </c>
      <c r="C43" s="254">
        <f t="shared" si="9"/>
        <v>813036.9100000001</v>
      </c>
      <c r="D43" s="327">
        <f t="shared" si="10"/>
        <v>19129.539999999804</v>
      </c>
      <c r="E43" s="1400">
        <f>'пеня 2023'!C231+'пеня 2023'!H231+'пеня 2023'!L231+'пеня 2023'!P231</f>
        <v>8764.88</v>
      </c>
      <c r="F43" s="1401">
        <f>'пеня 2023'!D231+'пеня 2023'!I231+'пеня 2023'!M231+'пеня 2023'!R231</f>
        <v>8198.77</v>
      </c>
      <c r="G43" s="48">
        <f>'пеня 2023'!C263+'пеня 2023'!H263+'пеня 2023'!L263+'пеня 2023'!P263</f>
        <v>8827.65</v>
      </c>
      <c r="H43" s="61">
        <f>'пеня 2023'!D263+'пеня 2023'!I263+'пеня 2023'!M263+'пеня 2023'!R263</f>
        <v>13015.84</v>
      </c>
      <c r="I43" s="1476">
        <f>'пеня 2023'!C295+'пеня 2023'!H295+'пеня 2023'!L295+'пеня 2023'!P295</f>
        <v>8764.88</v>
      </c>
      <c r="J43" s="1477">
        <f>'пеня 2023'!D295+'пеня 2023'!I295+'пеня 2023'!M295+'пеня 2023'!R295</f>
        <v>7914.02</v>
      </c>
      <c r="K43" s="1478">
        <f>'пеня 2023'!C328+'пеня 2023'!H328+'пеня 2023'!L328+'пеня 2023'!P328</f>
        <v>8764.88</v>
      </c>
      <c r="L43" s="1479">
        <f>'пеня 2023'!D328+'пеня 2023'!I328+'пеня 2023'!M328+'пеня 2023'!R328</f>
        <v>6900.58</v>
      </c>
      <c r="M43" s="1474">
        <f>'пеня 2023'!C359+'пеня 2023'!H359+'пеня 2023'!L359+'пеня 2023'!P359</f>
        <v>8765.029999999999</v>
      </c>
      <c r="N43" s="1475">
        <f>'пеня 2023'!D359+'пеня 2023'!I359+'пеня 2023'!M359+'пеня 2023'!R359</f>
        <v>8761.65</v>
      </c>
      <c r="O43" s="48">
        <f>'пеня 2023'!C391+'пеня 2023'!H391+'пеня 2023'!L391+'пеня 2023'!P391</f>
        <v>8773.72</v>
      </c>
      <c r="P43" s="48">
        <f>'пеня 2023'!D391+'пеня 2023'!I391+'пеня 2023'!M391+'пеня 2023'!R391</f>
        <v>9219.77</v>
      </c>
      <c r="Q43" s="273">
        <f t="shared" si="11"/>
        <v>105263.42</v>
      </c>
      <c r="R43" s="273">
        <f t="shared" si="12"/>
        <v>103954.74</v>
      </c>
      <c r="S43" s="60">
        <f t="shared" si="13"/>
        <v>1308.679999999993</v>
      </c>
      <c r="T43" s="219">
        <f t="shared" si="7"/>
        <v>884827.49</v>
      </c>
      <c r="U43" s="220">
        <f t="shared" si="14"/>
        <v>867047.5400000002</v>
      </c>
      <c r="V43" s="48">
        <f t="shared" si="16"/>
        <v>17779.949999999837</v>
      </c>
      <c r="W43" s="655">
        <f>150000+133664</f>
        <v>283664</v>
      </c>
      <c r="X43" s="48"/>
      <c r="Y43" s="206"/>
      <c r="Z43" s="210"/>
      <c r="AA43" s="661" t="s">
        <v>11</v>
      </c>
      <c r="AB43" s="743">
        <f t="shared" si="15"/>
        <v>97.99057441129007</v>
      </c>
      <c r="AC43" s="51"/>
      <c r="AD43" s="39"/>
    </row>
    <row r="44" spans="1:30" ht="15.75" thickBot="1">
      <c r="A44" s="44" t="s">
        <v>12</v>
      </c>
      <c r="B44" s="254">
        <f t="shared" si="8"/>
        <v>4976408.56</v>
      </c>
      <c r="C44" s="254">
        <f t="shared" si="9"/>
        <v>4891657.090000001</v>
      </c>
      <c r="D44" s="327">
        <f t="shared" si="10"/>
        <v>84751.46999999881</v>
      </c>
      <c r="E44" s="1400">
        <f>'пеня 2023'!C232+'пеня 2023'!H232+'пеня 2023'!L232+'пеня 2023'!P232</f>
        <v>52539.58</v>
      </c>
      <c r="F44" s="1401">
        <f>'пеня 2023'!D232+'пеня 2023'!I232+'пеня 2023'!M232+'пеня 2023'!R232</f>
        <v>49193.71</v>
      </c>
      <c r="G44" s="48">
        <f>'пеня 2023'!C264+'пеня 2023'!H264+'пеня 2023'!L264+'пеня 2023'!P264</f>
        <v>52593.66</v>
      </c>
      <c r="H44" s="61">
        <f>'пеня 2023'!D264+'пеня 2023'!I264+'пеня 2023'!M264+'пеня 2023'!R264</f>
        <v>47168.06999999999</v>
      </c>
      <c r="I44" s="1476">
        <f>'пеня 2023'!C296+'пеня 2023'!H296+'пеня 2023'!L296+'пеня 2023'!P296</f>
        <v>52627.97</v>
      </c>
      <c r="J44" s="1477">
        <f>'пеня 2023'!D296+'пеня 2023'!I296+'пеня 2023'!M296+'пеня 2023'!R296</f>
        <v>64166.04</v>
      </c>
      <c r="K44" s="1478">
        <f>'пеня 2023'!C329+'пеня 2023'!H329+'пеня 2023'!L329+'пеня 2023'!P329</f>
        <v>52583.189999999995</v>
      </c>
      <c r="L44" s="1479">
        <f>'пеня 2023'!D329+'пеня 2023'!I329+'пеня 2023'!M329+'пеня 2023'!R329</f>
        <v>60599.09999999999</v>
      </c>
      <c r="M44" s="1474">
        <f>'пеня 2023'!C360+'пеня 2023'!H360+'пеня 2023'!L360+'пеня 2023'!P360</f>
        <v>52552.619999999995</v>
      </c>
      <c r="N44" s="1475">
        <f>'пеня 2023'!D360+'пеня 2023'!I360+'пеня 2023'!M360+'пеня 2023'!R360</f>
        <v>49363.520000000004</v>
      </c>
      <c r="O44" s="48">
        <f>'пеня 2023'!C392+'пеня 2023'!H392+'пеня 2023'!L392+'пеня 2023'!P392</f>
        <v>52630.159999999996</v>
      </c>
      <c r="P44" s="48">
        <f>'пеня 2023'!D392+'пеня 2023'!I392+'пеня 2023'!M392+'пеня 2023'!R392</f>
        <v>56621.14</v>
      </c>
      <c r="Q44" s="273">
        <f t="shared" si="11"/>
        <v>630407.4</v>
      </c>
      <c r="R44" s="273">
        <f t="shared" si="12"/>
        <v>624482.84</v>
      </c>
      <c r="S44" s="60">
        <f t="shared" si="13"/>
        <v>5924.560000000056</v>
      </c>
      <c r="T44" s="219">
        <f t="shared" si="7"/>
        <v>5291935.74</v>
      </c>
      <c r="U44" s="220">
        <f t="shared" si="14"/>
        <v>5218768.67</v>
      </c>
      <c r="V44" s="10">
        <f t="shared" si="16"/>
        <v>73167.0700000003</v>
      </c>
      <c r="W44" s="36">
        <f>897683.06+2000000+550007</f>
        <v>3447690.06</v>
      </c>
      <c r="X44" s="48"/>
      <c r="Y44" s="205"/>
      <c r="Z44" s="215"/>
      <c r="AA44" s="660" t="s">
        <v>12</v>
      </c>
      <c r="AB44" s="743">
        <f t="shared" si="15"/>
        <v>98.61738551647643</v>
      </c>
      <c r="AC44" s="51"/>
      <c r="AD44" s="39"/>
    </row>
    <row r="45" spans="1:30" ht="15">
      <c r="A45" s="44" t="s">
        <v>13</v>
      </c>
      <c r="B45" s="254">
        <f t="shared" si="8"/>
        <v>2901276.0799999987</v>
      </c>
      <c r="C45" s="254">
        <f t="shared" si="9"/>
        <v>2845614.5799999996</v>
      </c>
      <c r="D45" s="327">
        <f t="shared" si="10"/>
        <v>55661.49999999907</v>
      </c>
      <c r="E45" s="1400">
        <f>'пеня 2023'!C233+'пеня 2023'!H233+'пеня 2023'!L233+'пеня 2023'!P233</f>
        <v>30648.47</v>
      </c>
      <c r="F45" s="1401">
        <f>'пеня 2023'!D233+'пеня 2023'!I233+'пеня 2023'!M233+'пеня 2023'!R233</f>
        <v>30951.960000000003</v>
      </c>
      <c r="G45" s="48">
        <f>'пеня 2023'!C265+'пеня 2023'!H265+'пеня 2023'!L265+'пеня 2023'!P265</f>
        <v>30683.160000000003</v>
      </c>
      <c r="H45" s="61">
        <f>'пеня 2023'!D265+'пеня 2023'!I265+'пеня 2023'!M265+'пеня 2023'!R265</f>
        <v>29608.72</v>
      </c>
      <c r="I45" s="1476">
        <f>'пеня 2023'!C297+'пеня 2023'!H297+'пеня 2023'!L297+'пеня 2023'!P297</f>
        <v>30645.24</v>
      </c>
      <c r="J45" s="1477">
        <f>'пеня 2023'!D297+'пеня 2023'!I297+'пеня 2023'!M297+'пеня 2023'!R297</f>
        <v>31183.87</v>
      </c>
      <c r="K45" s="1478">
        <f>'пеня 2023'!C330+'пеня 2023'!H330+'пеня 2023'!L330+'пеня 2023'!P330</f>
        <v>30591.33</v>
      </c>
      <c r="L45" s="1479">
        <f>'пеня 2023'!D330+'пеня 2023'!I330+'пеня 2023'!M330+'пеня 2023'!R330</f>
        <v>33174.06</v>
      </c>
      <c r="M45" s="1474">
        <f>'пеня 2023'!C361+'пеня 2023'!H361+'пеня 2023'!L361+'пеня 2023'!P361</f>
        <v>30643.590000000004</v>
      </c>
      <c r="N45" s="1475">
        <f>'пеня 2023'!D361+'пеня 2023'!I361+'пеня 2023'!M361+'пеня 2023'!R361</f>
        <v>31082.160000000003</v>
      </c>
      <c r="O45" s="48">
        <f>'пеня 2023'!C393+'пеня 2023'!H393+'пеня 2023'!L393+'пеня 2023'!P393</f>
        <v>30626.980000000003</v>
      </c>
      <c r="P45" s="48">
        <f>'пеня 2023'!D393+'пеня 2023'!I393+'пеня 2023'!M393+'пеня 2023'!R393</f>
        <v>32186.5</v>
      </c>
      <c r="Q45" s="273">
        <f t="shared" si="11"/>
        <v>367555.82</v>
      </c>
      <c r="R45" s="273">
        <f t="shared" si="12"/>
        <v>368369</v>
      </c>
      <c r="S45" s="60">
        <f t="shared" si="13"/>
        <v>-813.179999999993</v>
      </c>
      <c r="T45" s="219">
        <f t="shared" si="7"/>
        <v>3085114.849999999</v>
      </c>
      <c r="U45" s="220">
        <f t="shared" si="14"/>
        <v>3033801.85</v>
      </c>
      <c r="V45" s="10">
        <f t="shared" si="16"/>
        <v>51312.99999999907</v>
      </c>
      <c r="W45" s="36">
        <f>410000+2314500</f>
        <v>2724500</v>
      </c>
      <c r="X45" s="48"/>
      <c r="Y45" s="198"/>
      <c r="Z45" s="207"/>
      <c r="AA45" s="660" t="s">
        <v>13</v>
      </c>
      <c r="AB45" s="743">
        <f t="shared" si="15"/>
        <v>98.33675559922837</v>
      </c>
      <c r="AC45" s="51"/>
      <c r="AD45" s="39"/>
    </row>
    <row r="46" spans="1:30" ht="15">
      <c r="A46" s="44" t="s">
        <v>14</v>
      </c>
      <c r="B46" s="254">
        <f t="shared" si="8"/>
        <v>3687028.2400000007</v>
      </c>
      <c r="C46" s="254">
        <f t="shared" si="9"/>
        <v>3636870.55</v>
      </c>
      <c r="D46" s="327">
        <f t="shared" si="10"/>
        <v>50157.690000000875</v>
      </c>
      <c r="E46" s="1400">
        <f>'пеня 2023'!C234+'пеня 2023'!H234+'пеня 2023'!L234+'пеня 2023'!P234</f>
        <v>39516.600000000006</v>
      </c>
      <c r="F46" s="1401">
        <f>'пеня 2023'!D234+'пеня 2023'!I234+'пеня 2023'!M234+'пеня 2023'!R234</f>
        <v>37897.25000000001</v>
      </c>
      <c r="G46" s="48">
        <f>'пеня 2023'!C266+'пеня 2023'!H266+'пеня 2023'!L266+'пеня 2023'!P266</f>
        <v>39583.12</v>
      </c>
      <c r="H46" s="61">
        <f>'пеня 2023'!D266+'пеня 2023'!I266+'пеня 2023'!M266+'пеня 2023'!R266</f>
        <v>41626.36</v>
      </c>
      <c r="I46" s="1476">
        <f>'пеня 2023'!C298+'пеня 2023'!H298+'пеня 2023'!L298+'пеня 2023'!P298</f>
        <v>39521.03</v>
      </c>
      <c r="J46" s="1477">
        <f>'пеня 2023'!D298+'пеня 2023'!I298+'пеня 2023'!M298+'пеня 2023'!R298</f>
        <v>42592.189999999995</v>
      </c>
      <c r="K46" s="1478">
        <f>'пеня 2023'!C331+'пеня 2023'!H331+'пеня 2023'!L331+'пеня 2023'!P331</f>
        <v>39549.920000000006</v>
      </c>
      <c r="L46" s="1479">
        <f>'пеня 2023'!D331+'пеня 2023'!I331+'пеня 2023'!M331+'пеня 2023'!R331</f>
        <v>40686.53999999999</v>
      </c>
      <c r="M46" s="1474">
        <f>'пеня 2023'!C362+'пеня 2023'!H362+'пеня 2023'!L362+'пеня 2023'!P362</f>
        <v>39814</v>
      </c>
      <c r="N46" s="1475">
        <f>'пеня 2023'!D362+'пеня 2023'!I362+'пеня 2023'!M362+'пеня 2023'!R362</f>
        <v>46693.52</v>
      </c>
      <c r="O46" s="48">
        <f>'пеня 2023'!C394+'пеня 2023'!H394+'пеня 2023'!L394+'пеня 2023'!P394</f>
        <v>39529.630000000005</v>
      </c>
      <c r="P46" s="48">
        <f>'пеня 2023'!D394+'пеня 2023'!I394+'пеня 2023'!M394+'пеня 2023'!R394</f>
        <v>42508.53</v>
      </c>
      <c r="Q46" s="273">
        <f t="shared" si="11"/>
        <v>474724.8</v>
      </c>
      <c r="R46" s="273">
        <f t="shared" si="12"/>
        <v>481716.52</v>
      </c>
      <c r="S46" s="60">
        <f t="shared" si="13"/>
        <v>-6991.72000000003</v>
      </c>
      <c r="T46" s="219">
        <f t="shared" si="7"/>
        <v>3924542.5400000005</v>
      </c>
      <c r="U46" s="220">
        <f t="shared" si="14"/>
        <v>3888874.9399999995</v>
      </c>
      <c r="V46" s="10">
        <f t="shared" si="16"/>
        <v>35667.600000001024</v>
      </c>
      <c r="W46" s="663">
        <f>95170+750706+1850799</f>
        <v>2696675</v>
      </c>
      <c r="X46" s="48"/>
      <c r="Y46" s="198"/>
      <c r="Z46" s="199"/>
      <c r="AA46" s="660" t="s">
        <v>14</v>
      </c>
      <c r="AB46" s="743">
        <f t="shared" si="15"/>
        <v>99.09116541261899</v>
      </c>
      <c r="AC46" s="51"/>
      <c r="AD46" s="39"/>
    </row>
    <row r="47" spans="1:30" ht="15">
      <c r="A47" s="44" t="s">
        <v>55</v>
      </c>
      <c r="B47" s="254">
        <f t="shared" si="8"/>
        <v>1770030.9500000004</v>
      </c>
      <c r="C47" s="254">
        <f t="shared" si="9"/>
        <v>1604707.44</v>
      </c>
      <c r="D47" s="327">
        <f t="shared" si="10"/>
        <v>165323.51000000047</v>
      </c>
      <c r="E47" s="1400">
        <f>'пеня 2023'!C235+'пеня 2023'!H235+'пеня 2023'!L235+'пеня 2023'!P235</f>
        <v>17295.21</v>
      </c>
      <c r="F47" s="1401">
        <f>'пеня 2023'!D235+'пеня 2023'!I235+'пеня 2023'!M235+'пеня 2023'!R235</f>
        <v>16608.679999999997</v>
      </c>
      <c r="G47" s="48">
        <f>'пеня 2023'!C267+'пеня 2023'!H267+'пеня 2023'!L267+'пеня 2023'!P267</f>
        <v>17302.11</v>
      </c>
      <c r="H47" s="61">
        <f>'пеня 2023'!D267+'пеня 2023'!I267+'пеня 2023'!M267+'пеня 2023'!R267</f>
        <v>22270.5</v>
      </c>
      <c r="I47" s="1476">
        <f>'пеня 2023'!C299+'пеня 2023'!H299+'пеня 2023'!L299+'пеня 2023'!P299</f>
        <v>17276.030000000002</v>
      </c>
      <c r="J47" s="1477">
        <f>'пеня 2023'!D299+'пеня 2023'!I299+'пеня 2023'!M299+'пеня 2023'!R299</f>
        <v>16967.99</v>
      </c>
      <c r="K47" s="1478">
        <f>'пеня 2023'!C332+'пеня 2023'!H332+'пеня 2023'!L332+'пеня 2023'!P332</f>
        <v>17293.100000000002</v>
      </c>
      <c r="L47" s="1479">
        <f>'пеня 2023'!D332+'пеня 2023'!I332+'пеня 2023'!M332+'пеня 2023'!R332</f>
        <v>21486.510000000002</v>
      </c>
      <c r="M47" s="1474">
        <f>'пеня 2023'!C363+'пеня 2023'!H363+'пеня 2023'!L363+'пеня 2023'!P363</f>
        <v>17260.05</v>
      </c>
      <c r="N47" s="1475">
        <f>'пеня 2023'!D363+'пеня 2023'!I363+'пеня 2023'!M363+'пеня 2023'!R363</f>
        <v>14892.449999999999</v>
      </c>
      <c r="O47" s="48">
        <f>'пеня 2023'!C395+'пеня 2023'!H395+'пеня 2023'!L395+'пеня 2023'!P395</f>
        <v>17278.66</v>
      </c>
      <c r="P47" s="48">
        <f>'пеня 2023'!D395+'пеня 2023'!I395+'пеня 2023'!M395+'пеня 2023'!R395</f>
        <v>20559.19</v>
      </c>
      <c r="Q47" s="273">
        <f t="shared" si="11"/>
        <v>207294.42999999996</v>
      </c>
      <c r="R47" s="273">
        <f t="shared" si="12"/>
        <v>217376.95</v>
      </c>
      <c r="S47" s="60">
        <f t="shared" si="13"/>
        <v>-10082.520000000048</v>
      </c>
      <c r="T47" s="219">
        <f t="shared" si="7"/>
        <v>1873736.1100000006</v>
      </c>
      <c r="U47" s="220">
        <f t="shared" si="14"/>
        <v>1717492.7599999998</v>
      </c>
      <c r="V47" s="48">
        <f t="shared" si="16"/>
        <v>156243.3500000008</v>
      </c>
      <c r="W47" s="62">
        <f>334459.74+350000</f>
        <v>684459.74</v>
      </c>
      <c r="X47" s="48"/>
      <c r="Y47" s="200"/>
      <c r="Z47" s="201"/>
      <c r="AA47" s="660" t="s">
        <v>55</v>
      </c>
      <c r="AB47" s="743">
        <f t="shared" si="15"/>
        <v>91.66140049465126</v>
      </c>
      <c r="AC47" s="51"/>
      <c r="AD47" s="39"/>
    </row>
    <row r="48" spans="1:30" ht="15">
      <c r="A48" s="44" t="s">
        <v>15</v>
      </c>
      <c r="B48" s="254">
        <f t="shared" si="8"/>
        <v>3820426.3000000003</v>
      </c>
      <c r="C48" s="254">
        <f t="shared" si="9"/>
        <v>3645805.8999999994</v>
      </c>
      <c r="D48" s="327">
        <f t="shared" si="10"/>
        <v>174620.40000000084</v>
      </c>
      <c r="E48" s="1400">
        <f>'пеня 2023'!C236+'пеня 2023'!H236+'пеня 2023'!L236+'пеня 2023'!P236</f>
        <v>41425.36000000001</v>
      </c>
      <c r="F48" s="1401">
        <f>'пеня 2023'!D236+'пеня 2023'!I236+'пеня 2023'!M236+'пеня 2023'!R236</f>
        <v>41725.61</v>
      </c>
      <c r="G48" s="48">
        <f>'пеня 2023'!C268+'пеня 2023'!H268+'пеня 2023'!L268+'пеня 2023'!P268</f>
        <v>41407.16</v>
      </c>
      <c r="H48" s="61">
        <f>'пеня 2023'!D268+'пеня 2023'!I268+'пеня 2023'!M268+'пеня 2023'!R268</f>
        <v>35693.7</v>
      </c>
      <c r="I48" s="1476">
        <f>'пеня 2023'!C300+'пеня 2023'!H300+'пеня 2023'!L300+'пеня 2023'!P300</f>
        <v>41394.05</v>
      </c>
      <c r="J48" s="1477">
        <f>'пеня 2023'!D300+'пеня 2023'!I300+'пеня 2023'!M300+'пеня 2023'!R300</f>
        <v>37720.27</v>
      </c>
      <c r="K48" s="1478">
        <f>'пеня 2023'!C333+'пеня 2023'!H333+'пеня 2023'!L333+'пеня 2023'!P333</f>
        <v>41391.060000000005</v>
      </c>
      <c r="L48" s="1479">
        <f>'пеня 2023'!D333+'пеня 2023'!I333+'пеня 2023'!M333+'пеня 2023'!R333</f>
        <v>94577.74</v>
      </c>
      <c r="M48" s="1474">
        <f>'пеня 2023'!C364+'пеня 2023'!H364+'пеня 2023'!L364+'пеня 2023'!P364</f>
        <v>41481.82000000001</v>
      </c>
      <c r="N48" s="1475">
        <f>'пеня 2023'!D364+'пеня 2023'!I364+'пеня 2023'!M364+'пеня 2023'!R364</f>
        <v>37040.75</v>
      </c>
      <c r="O48" s="48">
        <f>'пеня 2023'!C396+'пеня 2023'!H396+'пеня 2023'!L396+'пеня 2023'!P396</f>
        <v>41467.39000000001</v>
      </c>
      <c r="P48" s="48">
        <f>'пеня 2023'!D396+'пеня 2023'!I396+'пеня 2023'!M396+'пеня 2023'!R396</f>
        <v>42243.79</v>
      </c>
      <c r="Q48" s="273">
        <f t="shared" si="11"/>
        <v>497359.98000000004</v>
      </c>
      <c r="R48" s="273">
        <f t="shared" si="12"/>
        <v>516602.72</v>
      </c>
      <c r="S48" s="60">
        <f t="shared" si="13"/>
        <v>-19242.739999999932</v>
      </c>
      <c r="T48" s="219">
        <f t="shared" si="7"/>
        <v>4068993.14</v>
      </c>
      <c r="U48" s="220">
        <f t="shared" si="14"/>
        <v>3934807.76</v>
      </c>
      <c r="V48" s="10">
        <f t="shared" si="16"/>
        <v>134185.38000000035</v>
      </c>
      <c r="W48" s="36">
        <f>500000+2770000</f>
        <v>3270000</v>
      </c>
      <c r="X48" s="48"/>
      <c r="Y48" s="198"/>
      <c r="Z48" s="199"/>
      <c r="AA48" s="660" t="s">
        <v>15</v>
      </c>
      <c r="AB48" s="743">
        <f t="shared" si="15"/>
        <v>96.70224609914186</v>
      </c>
      <c r="AC48" s="51"/>
      <c r="AD48" s="39"/>
    </row>
    <row r="49" spans="1:30" ht="15">
      <c r="A49" s="44" t="s">
        <v>16</v>
      </c>
      <c r="B49" s="254">
        <f t="shared" si="8"/>
        <v>3050044.38</v>
      </c>
      <c r="C49" s="254">
        <f t="shared" si="9"/>
        <v>3017013.9500000007</v>
      </c>
      <c r="D49" s="327">
        <f t="shared" si="10"/>
        <v>33030.429999999236</v>
      </c>
      <c r="E49" s="1400">
        <f>'пеня 2023'!C237+'пеня 2023'!H237+'пеня 2023'!L237+'пеня 2023'!P237</f>
        <v>32406.829999999998</v>
      </c>
      <c r="F49" s="1401">
        <f>'пеня 2023'!D237+'пеня 2023'!I237+'пеня 2023'!M237+'пеня 2023'!R237</f>
        <v>33948.229999999996</v>
      </c>
      <c r="G49" s="48">
        <f>'пеня 2023'!C269+'пеня 2023'!H269+'пеня 2023'!L269+'пеня 2023'!P269</f>
        <v>32210.6</v>
      </c>
      <c r="H49" s="61">
        <f>'пеня 2023'!D269+'пеня 2023'!I269+'пеня 2023'!M269+'пеня 2023'!R269</f>
        <v>32314.07</v>
      </c>
      <c r="I49" s="1476">
        <f>'пеня 2023'!C301+'пеня 2023'!H301+'пеня 2023'!L301+'пеня 2023'!P301</f>
        <v>32299.449999999997</v>
      </c>
      <c r="J49" s="1477">
        <f>'пеня 2023'!D301+'пеня 2023'!I301+'пеня 2023'!M301+'пеня 2023'!R301</f>
        <v>29545.269999999997</v>
      </c>
      <c r="K49" s="1478">
        <f>'пеня 2023'!C334+'пеня 2023'!H334+'пеня 2023'!L334+'пеня 2023'!P334</f>
        <v>32262.46</v>
      </c>
      <c r="L49" s="1479">
        <f>'пеня 2023'!D334+'пеня 2023'!I334+'пеня 2023'!M334+'пеня 2023'!R334</f>
        <v>35849.16</v>
      </c>
      <c r="M49" s="1474">
        <f>'пеня 2023'!C365+'пеня 2023'!H365+'пеня 2023'!L365+'пеня 2023'!P365</f>
        <v>32206.1</v>
      </c>
      <c r="N49" s="1475">
        <f>'пеня 2023'!D365+'пеня 2023'!I365+'пеня 2023'!M365+'пеня 2023'!R365</f>
        <v>31210.44</v>
      </c>
      <c r="O49" s="48">
        <f>'пеня 2023'!C397+'пеня 2023'!H397+'пеня 2023'!L397+'пеня 2023'!P397</f>
        <v>32211.269999999997</v>
      </c>
      <c r="P49" s="48">
        <f>'пеня 2023'!D397+'пеня 2023'!I397+'пеня 2023'!M397+'пеня 2023'!R397</f>
        <v>36093.25000000001</v>
      </c>
      <c r="Q49" s="273">
        <f t="shared" si="11"/>
        <v>386939.32</v>
      </c>
      <c r="R49" s="273">
        <f t="shared" si="12"/>
        <v>381132.6500000001</v>
      </c>
      <c r="S49" s="60">
        <f t="shared" si="13"/>
        <v>5806.6699999999255</v>
      </c>
      <c r="T49" s="219">
        <f t="shared" si="7"/>
        <v>3243641.0900000003</v>
      </c>
      <c r="U49" s="220">
        <f t="shared" si="14"/>
        <v>3215974.3700000006</v>
      </c>
      <c r="V49" s="48">
        <f t="shared" si="16"/>
        <v>27666.71999999974</v>
      </c>
      <c r="W49" s="655">
        <f>1336500+350000+1489010+609989</f>
        <v>3785499</v>
      </c>
      <c r="X49" s="48"/>
      <c r="Y49" s="200"/>
      <c r="Z49" s="201"/>
      <c r="AA49" s="660" t="s">
        <v>16</v>
      </c>
      <c r="AB49" s="743">
        <f t="shared" si="15"/>
        <v>99.14704743119407</v>
      </c>
      <c r="AC49" s="51"/>
      <c r="AD49" s="39"/>
    </row>
    <row r="50" spans="1:30" ht="15">
      <c r="A50" s="44" t="s">
        <v>17</v>
      </c>
      <c r="B50" s="254">
        <f t="shared" si="8"/>
        <v>4043131.020000001</v>
      </c>
      <c r="C50" s="254">
        <f t="shared" si="9"/>
        <v>3982822.8400000012</v>
      </c>
      <c r="D50" s="327">
        <f t="shared" si="10"/>
        <v>60308.1799999997</v>
      </c>
      <c r="E50" s="1400">
        <f>'пеня 2023'!C238+'пеня 2023'!H238+'пеня 2023'!L238+'пеня 2023'!P238</f>
        <v>42618.1</v>
      </c>
      <c r="F50" s="1401">
        <f>'пеня 2023'!D238+'пеня 2023'!I238+'пеня 2023'!M238+'пеня 2023'!R238</f>
        <v>39997.2</v>
      </c>
      <c r="G50" s="48">
        <f>'пеня 2023'!C270+'пеня 2023'!H270+'пеня 2023'!L270+'пеня 2023'!P270</f>
        <v>42686.44</v>
      </c>
      <c r="H50" s="61">
        <f>'пеня 2023'!D270+'пеня 2023'!I270+'пеня 2023'!M270+'пеня 2023'!R270</f>
        <v>49340.909999999996</v>
      </c>
      <c r="I50" s="1476">
        <f>'пеня 2023'!C302+'пеня 2023'!H302+'пеня 2023'!L302+'пеня 2023'!P302</f>
        <v>42618.71</v>
      </c>
      <c r="J50" s="1477">
        <f>'пеня 2023'!D302+'пеня 2023'!I302+'пеня 2023'!M302+'пеня 2023'!R302</f>
        <v>41014.689999999995</v>
      </c>
      <c r="K50" s="1478">
        <f>'пеня 2023'!C335+'пеня 2023'!H335+'пеня 2023'!L335+'пеня 2023'!P335</f>
        <v>42623.090000000004</v>
      </c>
      <c r="L50" s="1479">
        <f>'пеня 2023'!D335+'пеня 2023'!I335+'пеня 2023'!M335+'пеня 2023'!R335</f>
        <v>49013.350000000006</v>
      </c>
      <c r="M50" s="1474">
        <f>'пеня 2023'!C366+'пеня 2023'!H366+'пеня 2023'!L366+'пеня 2023'!P366</f>
        <v>42642.13</v>
      </c>
      <c r="N50" s="1475">
        <f>'пеня 2023'!D366+'пеня 2023'!I366+'пеня 2023'!M366+'пеня 2023'!R366</f>
        <v>41549</v>
      </c>
      <c r="O50" s="48">
        <f>'пеня 2023'!C398+'пеня 2023'!H398+'пеня 2023'!L398+'пеня 2023'!P398</f>
        <v>42692.01</v>
      </c>
      <c r="P50" s="48">
        <f>'пеня 2023'!D398+'пеня 2023'!I398+'пеня 2023'!M398+'пеня 2023'!R398</f>
        <v>44038.88999999999</v>
      </c>
      <c r="Q50" s="273">
        <f t="shared" si="11"/>
        <v>511740.82000000007</v>
      </c>
      <c r="R50" s="273">
        <f t="shared" si="12"/>
        <v>511499.39</v>
      </c>
      <c r="S50" s="60">
        <f t="shared" si="13"/>
        <v>241.43000000005122</v>
      </c>
      <c r="T50" s="219">
        <f t="shared" si="7"/>
        <v>4299011.500000001</v>
      </c>
      <c r="U50" s="220">
        <f t="shared" si="14"/>
        <v>4247776.880000002</v>
      </c>
      <c r="V50" s="10">
        <f t="shared" si="16"/>
        <v>51234.61999999918</v>
      </c>
      <c r="W50" s="36">
        <f>776856+140000+3020000</f>
        <v>3936856</v>
      </c>
      <c r="X50" s="48"/>
      <c r="Y50" s="198"/>
      <c r="Z50" s="199"/>
      <c r="AA50" s="660" t="s">
        <v>17</v>
      </c>
      <c r="AB50" s="743">
        <f t="shared" si="15"/>
        <v>98.80822323922605</v>
      </c>
      <c r="AC50" s="51"/>
      <c r="AD50" s="39"/>
    </row>
    <row r="51" spans="1:30" ht="15">
      <c r="A51" s="44" t="s">
        <v>18</v>
      </c>
      <c r="B51" s="254">
        <f t="shared" si="8"/>
        <v>8601103.359999998</v>
      </c>
      <c r="C51" s="254">
        <f t="shared" si="9"/>
        <v>8437934.799999999</v>
      </c>
      <c r="D51" s="327">
        <f t="shared" si="10"/>
        <v>163168.55999999866</v>
      </c>
      <c r="E51" s="1400">
        <f>'пеня 2023'!C239+'пеня 2023'!H239+'пеня 2023'!L239+'пеня 2023'!P239</f>
        <v>91252.76</v>
      </c>
      <c r="F51" s="1401">
        <f>'пеня 2023'!D239+'пеня 2023'!I239+'пеня 2023'!M239+'пеня 2023'!R239</f>
        <v>91067.6</v>
      </c>
      <c r="G51" s="48">
        <f>'пеня 2023'!C271+'пеня 2023'!H271+'пеня 2023'!L271+'пеня 2023'!P271</f>
        <v>91395.98</v>
      </c>
      <c r="H51" s="61">
        <f>'пеня 2023'!D271+'пеня 2023'!I271+'пеня 2023'!M271+'пеня 2023'!R271</f>
        <v>87141.40000000001</v>
      </c>
      <c r="I51" s="1476">
        <f>'пеня 2023'!C303+'пеня 2023'!H303+'пеня 2023'!L303+'пеня 2023'!P303</f>
        <v>91277.87999999999</v>
      </c>
      <c r="J51" s="1477">
        <f>'пеня 2023'!D303+'пеня 2023'!I303+'пеня 2023'!M303+'пеня 2023'!R303</f>
        <v>92591.02</v>
      </c>
      <c r="K51" s="1478">
        <f>'пеня 2023'!C336+'пеня 2023'!H336+'пеня 2023'!L336+'пеня 2023'!P336</f>
        <v>91346.92</v>
      </c>
      <c r="L51" s="1479">
        <f>'пеня 2023'!D336+'пеня 2023'!I336+'пеня 2023'!M336+'пеня 2023'!R336</f>
        <v>97610.99</v>
      </c>
      <c r="M51" s="1474">
        <f>'пеня 2023'!C367+'пеня 2023'!H367+'пеня 2023'!L367+'пеня 2023'!P367</f>
        <v>91239.75</v>
      </c>
      <c r="N51" s="1475">
        <f>'пеня 2023'!D367+'пеня 2023'!I367+'пеня 2023'!M367+'пеня 2023'!R367</f>
        <v>89349.38</v>
      </c>
      <c r="O51" s="48">
        <f>'пеня 2023'!C399+'пеня 2023'!H399+'пеня 2023'!L399+'пеня 2023'!P399</f>
        <v>91513.09</v>
      </c>
      <c r="P51" s="48">
        <f>'пеня 2023'!D399+'пеня 2023'!I399+'пеня 2023'!M399+'пеня 2023'!R399</f>
        <v>105349.79000000001</v>
      </c>
      <c r="Q51" s="273">
        <f t="shared" si="11"/>
        <v>1096061.25</v>
      </c>
      <c r="R51" s="273">
        <f t="shared" si="12"/>
        <v>1098388.76</v>
      </c>
      <c r="S51" s="60">
        <f t="shared" si="13"/>
        <v>-2327.5100000000093</v>
      </c>
      <c r="T51" s="219">
        <f t="shared" si="7"/>
        <v>9149129.739999998</v>
      </c>
      <c r="U51" s="220">
        <f t="shared" si="14"/>
        <v>9001044.979999999</v>
      </c>
      <c r="V51" s="10">
        <f t="shared" si="16"/>
        <v>148084.75999999978</v>
      </c>
      <c r="W51" s="663">
        <f>4341558.98+1102891+514319</f>
        <v>5958768.98</v>
      </c>
      <c r="X51" s="48"/>
      <c r="Y51" s="198"/>
      <c r="Z51" s="199"/>
      <c r="AA51" s="660" t="s">
        <v>18</v>
      </c>
      <c r="AB51" s="743">
        <f t="shared" si="15"/>
        <v>98.38143337991401</v>
      </c>
      <c r="AC51" s="51"/>
      <c r="AD51" s="39"/>
    </row>
    <row r="52" spans="1:30" ht="15">
      <c r="A52" s="44" t="s">
        <v>54</v>
      </c>
      <c r="B52" s="254">
        <f t="shared" si="8"/>
        <v>3824363.6199999996</v>
      </c>
      <c r="C52" s="254">
        <f t="shared" si="9"/>
        <v>3605827.7299999986</v>
      </c>
      <c r="D52" s="327">
        <f t="shared" si="10"/>
        <v>218535.89000000106</v>
      </c>
      <c r="E52" s="1400">
        <f>'пеня 2023'!C240+'пеня 2023'!H240+'пеня 2023'!L240+'пеня 2023'!P240</f>
        <v>38233.37</v>
      </c>
      <c r="F52" s="1401">
        <f>'пеня 2023'!D240+'пеня 2023'!I240+'пеня 2023'!M240+'пеня 2023'!R240</f>
        <v>34768.74</v>
      </c>
      <c r="G52" s="48">
        <f>'пеня 2023'!C272+'пеня 2023'!H272+'пеня 2023'!L272+'пеня 2023'!P272</f>
        <v>38232.05</v>
      </c>
      <c r="H52" s="61">
        <f>'пеня 2023'!D272+'пеня 2023'!I272+'пеня 2023'!M272+'пеня 2023'!R272</f>
        <v>38579.32</v>
      </c>
      <c r="I52" s="1476">
        <f>'пеня 2023'!C304+'пеня 2023'!H304+'пеня 2023'!L304+'пеня 2023'!P304</f>
        <v>38257.66</v>
      </c>
      <c r="J52" s="1477">
        <f>'пеня 2023'!D304+'пеня 2023'!I304+'пеня 2023'!M304+'пеня 2023'!R304</f>
        <v>41812.1</v>
      </c>
      <c r="K52" s="1478">
        <f>'пеня 2023'!C337+'пеня 2023'!H337+'пеня 2023'!L337+'пеня 2023'!P337</f>
        <v>38248.130000000005</v>
      </c>
      <c r="L52" s="1479">
        <f>'пеня 2023'!D337+'пеня 2023'!I337+'пеня 2023'!M337+'пеня 2023'!R337</f>
        <v>43779.67999999999</v>
      </c>
      <c r="M52" s="1474">
        <f>'пеня 2023'!C368+'пеня 2023'!H368+'пеня 2023'!L368+'пеня 2023'!P368</f>
        <v>38262.58</v>
      </c>
      <c r="N52" s="1475">
        <f>'пеня 2023'!D368+'пеня 2023'!I368+'пеня 2023'!M368+'пеня 2023'!R368</f>
        <v>37459.69</v>
      </c>
      <c r="O52" s="48">
        <f>'пеня 2023'!C400+'пеня 2023'!H400+'пеня 2023'!L400+'пеня 2023'!P400</f>
        <v>38310.94</v>
      </c>
      <c r="P52" s="48">
        <f>'пеня 2023'!D400+'пеня 2023'!I400+'пеня 2023'!M400+'пеня 2023'!R400</f>
        <v>42282.560000000005</v>
      </c>
      <c r="Q52" s="273">
        <f t="shared" si="11"/>
        <v>459025.08999999997</v>
      </c>
      <c r="R52" s="273">
        <f t="shared" si="12"/>
        <v>461434.22</v>
      </c>
      <c r="S52" s="60">
        <f t="shared" si="13"/>
        <v>-2409.1300000000047</v>
      </c>
      <c r="T52" s="219">
        <f t="shared" si="7"/>
        <v>4053908.3499999996</v>
      </c>
      <c r="U52" s="220">
        <f t="shared" si="14"/>
        <v>3844509.819999999</v>
      </c>
      <c r="V52" s="48">
        <f t="shared" si="16"/>
        <v>209398.53000000073</v>
      </c>
      <c r="W52" s="655">
        <f>729569+1097000+199802+916605</f>
        <v>2942976</v>
      </c>
      <c r="X52" s="48"/>
      <c r="Y52" s="200"/>
      <c r="Z52" s="201"/>
      <c r="AA52" s="660" t="s">
        <v>54</v>
      </c>
      <c r="AB52" s="743">
        <f t="shared" si="15"/>
        <v>94.83465061562131</v>
      </c>
      <c r="AC52" s="51"/>
      <c r="AD52" s="39"/>
    </row>
    <row r="53" spans="1:30" ht="15">
      <c r="A53" s="44" t="s">
        <v>49</v>
      </c>
      <c r="B53" s="254">
        <f t="shared" si="8"/>
        <v>8092009.780000002</v>
      </c>
      <c r="C53" s="254">
        <f t="shared" si="9"/>
        <v>7907652.169999999</v>
      </c>
      <c r="D53" s="327">
        <f t="shared" si="10"/>
        <v>184357.61000000313</v>
      </c>
      <c r="E53" s="1400">
        <f>'пеня 2023'!C241+'пеня 2023'!H241+'пеня 2023'!L241+'пеня 2023'!P241</f>
        <v>85109.26999999999</v>
      </c>
      <c r="F53" s="1401">
        <f>'пеня 2023'!D241+'пеня 2023'!I241+'пеня 2023'!M241+'пеня 2023'!R241</f>
        <v>84091.09</v>
      </c>
      <c r="G53" s="48">
        <f>'пеня 2023'!C273+'пеня 2023'!H273+'пеня 2023'!L273+'пеня 2023'!P273</f>
        <v>85455.62999999999</v>
      </c>
      <c r="H53" s="61">
        <f>'пеня 2023'!D273+'пеня 2023'!I273+'пеня 2023'!M273+'пеня 2023'!R273</f>
        <v>83402.52</v>
      </c>
      <c r="I53" s="1476">
        <f>'пеня 2023'!C305+'пеня 2023'!H305+'пеня 2023'!L305+'пеня 2023'!P305</f>
        <v>85926.03</v>
      </c>
      <c r="J53" s="1477">
        <f>'пеня 2023'!D305+'пеня 2023'!I305+'пеня 2023'!M305+'пеня 2023'!R305</f>
        <v>93096.71999999999</v>
      </c>
      <c r="K53" s="1478">
        <f>'пеня 2023'!C338+'пеня 2023'!H338+'пеня 2023'!L338+'пеня 2023'!P338</f>
        <v>85077.14</v>
      </c>
      <c r="L53" s="1479">
        <f>'пеня 2023'!D338+'пеня 2023'!I338+'пеня 2023'!M338+'пеня 2023'!R338</f>
        <v>100118.55</v>
      </c>
      <c r="M53" s="1474">
        <f>'пеня 2023'!C369+'пеня 2023'!H369+'пеня 2023'!L369+'пеня 2023'!P369</f>
        <v>85134.28</v>
      </c>
      <c r="N53" s="1475">
        <f>'пеня 2023'!D369+'пеня 2023'!I369+'пеня 2023'!M369+'пеня 2023'!R369</f>
        <v>89856.13999999998</v>
      </c>
      <c r="O53" s="48">
        <f>'пеня 2023'!C401+'пеня 2023'!H401+'пеня 2023'!L401+'пеня 2023'!P401</f>
        <v>85268.87999999999</v>
      </c>
      <c r="P53" s="48">
        <f>'пеня 2023'!D401+'пеня 2023'!I401+'пеня 2023'!M401+'пеня 2023'!R401</f>
        <v>96985.06999999998</v>
      </c>
      <c r="Q53" s="273">
        <f t="shared" si="11"/>
        <v>1024290.4</v>
      </c>
      <c r="R53" s="273">
        <f t="shared" si="12"/>
        <v>1028635.99</v>
      </c>
      <c r="S53" s="60">
        <f t="shared" si="13"/>
        <v>-4345.589999999967</v>
      </c>
      <c r="T53" s="219">
        <f t="shared" si="7"/>
        <v>8603981.010000002</v>
      </c>
      <c r="U53" s="220">
        <f t="shared" si="14"/>
        <v>8455202.259999998</v>
      </c>
      <c r="V53" s="47">
        <f t="shared" si="16"/>
        <v>148778.75000000373</v>
      </c>
      <c r="W53" s="63">
        <f>629831+645589.72+415100+340527</f>
        <v>2031047.72</v>
      </c>
      <c r="X53" s="48"/>
      <c r="Y53" s="202"/>
      <c r="Z53" s="203"/>
      <c r="AA53" s="660" t="s">
        <v>49</v>
      </c>
      <c r="AB53" s="743">
        <f t="shared" si="15"/>
        <v>98.27081498870017</v>
      </c>
      <c r="AC53" s="51"/>
      <c r="AD53" s="39"/>
    </row>
    <row r="54" spans="1:30" ht="15">
      <c r="A54" s="44" t="s">
        <v>19</v>
      </c>
      <c r="B54" s="254">
        <f>T23</f>
        <v>5782366.77</v>
      </c>
      <c r="C54" s="254">
        <f t="shared" si="9"/>
        <v>5723435.599999998</v>
      </c>
      <c r="D54" s="327">
        <f t="shared" si="10"/>
        <v>58931.17000000179</v>
      </c>
      <c r="E54" s="1400">
        <f>'пеня 2023'!C242+'пеня 2023'!H242+'пеня 2023'!L242+'пеня 2023'!P242</f>
        <v>61127.719999999994</v>
      </c>
      <c r="F54" s="1401">
        <f>'пеня 2023'!D242+'пеня 2023'!I242+'пеня 2023'!M242+'пеня 2023'!R242</f>
        <v>61091.770000000004</v>
      </c>
      <c r="G54" s="48">
        <f>'пеня 2023'!C274+'пеня 2023'!H274+'пеня 2023'!L274+'пеня 2023'!P274</f>
        <v>61180.24</v>
      </c>
      <c r="H54" s="61">
        <f>'пеня 2023'!D274+'пеня 2023'!I274+'пеня 2023'!M274+'пеня 2023'!R274</f>
        <v>60642.24</v>
      </c>
      <c r="I54" s="1476">
        <f>'пеня 2023'!C306+'пеня 2023'!H306+'пеня 2023'!L306+'пеня 2023'!P306</f>
        <v>61138.92999999999</v>
      </c>
      <c r="J54" s="1477">
        <f>'пеня 2023'!D306+'пеня 2023'!I306+'пеня 2023'!M306+'пеня 2023'!R306</f>
        <v>58346.979999999996</v>
      </c>
      <c r="K54" s="1478">
        <f>'пеня 2023'!C339+'пеня 2023'!H339+'пеня 2023'!L339+'пеня 2023'!P339</f>
        <v>61188.32</v>
      </c>
      <c r="L54" s="1479">
        <f>'пеня 2023'!D339+'пеня 2023'!I339+'пеня 2023'!M339+'пеня 2023'!R339</f>
        <v>69381.65999999999</v>
      </c>
      <c r="M54" s="1474">
        <f>'пеня 2023'!C370+'пеня 2023'!H370+'пеня 2023'!L370+'пеня 2023'!P370</f>
        <v>61186.81</v>
      </c>
      <c r="N54" s="1475">
        <f>'пеня 2023'!D370+'пеня 2023'!I370+'пеня 2023'!M370+'пеня 2023'!R370</f>
        <v>61109.07</v>
      </c>
      <c r="O54" s="48">
        <f>'пеня 2023'!C402+'пеня 2023'!H402+'пеня 2023'!L402+'пеня 2023'!P402</f>
        <v>61280.10999999999</v>
      </c>
      <c r="P54" s="48">
        <f>'пеня 2023'!D402+'пеня 2023'!I402+'пеня 2023'!M402+'пеня 2023'!R402</f>
        <v>73327.69</v>
      </c>
      <c r="Q54" s="273">
        <f t="shared" si="11"/>
        <v>733946.1499999998</v>
      </c>
      <c r="R54" s="273">
        <f t="shared" si="12"/>
        <v>730414.0700000001</v>
      </c>
      <c r="S54" s="60">
        <f t="shared" si="13"/>
        <v>3532.0799999997253</v>
      </c>
      <c r="T54" s="219">
        <f t="shared" si="7"/>
        <v>6149468.899999999</v>
      </c>
      <c r="U54" s="220">
        <f t="shared" si="14"/>
        <v>6107335.009999999</v>
      </c>
      <c r="V54" s="47">
        <f t="shared" si="16"/>
        <v>42133.890000000596</v>
      </c>
      <c r="W54" s="663">
        <f>399000+207400+1063322+220000+633944+1493718+869333</f>
        <v>4886717</v>
      </c>
      <c r="X54" s="48"/>
      <c r="Y54" s="198"/>
      <c r="Z54" s="199"/>
      <c r="AA54" s="660" t="s">
        <v>19</v>
      </c>
      <c r="AB54" s="743">
        <f t="shared" si="15"/>
        <v>99.31483692843783</v>
      </c>
      <c r="AC54" s="51"/>
      <c r="AD54" s="39"/>
    </row>
    <row r="55" spans="1:30" ht="15">
      <c r="A55" s="329" t="s">
        <v>20</v>
      </c>
      <c r="B55" s="254">
        <f t="shared" si="8"/>
        <v>3732296.9799999995</v>
      </c>
      <c r="C55" s="254">
        <f t="shared" si="9"/>
        <v>3709723.2</v>
      </c>
      <c r="D55" s="327">
        <f t="shared" si="10"/>
        <v>22573.77999999933</v>
      </c>
      <c r="E55" s="1400">
        <f>'пеня 2023'!C243+'пеня 2023'!H243+'пеня 2023'!L243+'пеня 2023'!P243</f>
        <v>39504.990000000005</v>
      </c>
      <c r="F55" s="1401">
        <f>'пеня 2023'!D243+'пеня 2023'!I243+'пеня 2023'!M243+'пеня 2023'!R243</f>
        <v>38344.38</v>
      </c>
      <c r="G55" s="48">
        <f>'пеня 2023'!C275+'пеня 2023'!H275+'пеня 2023'!L275+'пеня 2023'!P275</f>
        <v>39478.96000000001</v>
      </c>
      <c r="H55" s="61">
        <f>'пеня 2023'!D275+'пеня 2023'!I275+'пеня 2023'!M275+'пеня 2023'!R275</f>
        <v>38193.69</v>
      </c>
      <c r="I55" s="1476">
        <f>'пеня 2023'!C307+'пеня 2023'!H307+'пеня 2023'!L307+'пеня 2023'!P307</f>
        <v>39496.270000000004</v>
      </c>
      <c r="J55" s="1477">
        <f>'пеня 2023'!D307+'пеня 2023'!I307+'пеня 2023'!M307+'пеня 2023'!R307</f>
        <v>40214.57</v>
      </c>
      <c r="K55" s="1478">
        <f>'пеня 2023'!C340+'пеня 2023'!H340+'пеня 2023'!L340+'пеня 2023'!P340</f>
        <v>39496.130000000005</v>
      </c>
      <c r="L55" s="1479">
        <f>'пеня 2023'!D340+'пеня 2023'!I340+'пеня 2023'!M340+'пеня 2023'!R340</f>
        <v>37853.21</v>
      </c>
      <c r="M55" s="1474">
        <f>'пеня 2023'!C371+'пеня 2023'!H371+'пеня 2023'!L371+'пеня 2023'!P371</f>
        <v>39550.08</v>
      </c>
      <c r="N55" s="1475">
        <f>'пеня 2023'!D371+'пеня 2023'!I371+'пеня 2023'!M371+'пеня 2023'!R371</f>
        <v>39758.46</v>
      </c>
      <c r="O55" s="48">
        <f>'пеня 2023'!C403+'пеня 2023'!H403+'пеня 2023'!L403+'пеня 2023'!P403</f>
        <v>39469.23</v>
      </c>
      <c r="P55" s="48">
        <f>'пеня 2023'!D403+'пеня 2023'!I403+'пеня 2023'!M403+'пеня 2023'!R403</f>
        <v>46379.48</v>
      </c>
      <c r="Q55" s="273">
        <f t="shared" si="11"/>
        <v>473933.8500000001</v>
      </c>
      <c r="R55" s="273">
        <f t="shared" si="12"/>
        <v>476243.14</v>
      </c>
      <c r="S55" s="60">
        <f t="shared" si="13"/>
        <v>-2309.289999999921</v>
      </c>
      <c r="T55" s="219">
        <f t="shared" si="7"/>
        <v>3969292.6399999997</v>
      </c>
      <c r="U55" s="220">
        <f t="shared" si="14"/>
        <v>3950466.9899999998</v>
      </c>
      <c r="V55" s="47">
        <f t="shared" si="16"/>
        <v>18825.649999999907</v>
      </c>
      <c r="W55" s="143">
        <f>1413040.48+313600</f>
        <v>1726640.48</v>
      </c>
      <c r="X55" s="48"/>
      <c r="Y55" s="216"/>
      <c r="Z55" s="217"/>
      <c r="AA55" s="662" t="s">
        <v>20</v>
      </c>
      <c r="AB55" s="743">
        <f t="shared" si="15"/>
        <v>99.52571776113741</v>
      </c>
      <c r="AC55" s="51"/>
      <c r="AD55" s="39"/>
    </row>
    <row r="56" spans="1:30" ht="15">
      <c r="A56" s="740" t="s">
        <v>208</v>
      </c>
      <c r="B56" s="254">
        <f t="shared" si="8"/>
        <v>4690070.26</v>
      </c>
      <c r="C56" s="254">
        <f t="shared" si="9"/>
        <v>4581459.419999999</v>
      </c>
      <c r="D56" s="327">
        <f t="shared" si="10"/>
        <v>108610.84000000078</v>
      </c>
      <c r="E56" s="1400">
        <f>'пеня 2023'!C244+'пеня 2023'!H244+'пеня 2023'!L244+'пеня 2023'!P244</f>
        <v>48735.91</v>
      </c>
      <c r="F56" s="1401">
        <f>'пеня 2023'!D244+'пеня 2023'!I244+'пеня 2023'!M244+'пеня 2023'!R244</f>
        <v>52855.409999999996</v>
      </c>
      <c r="G56" s="48">
        <f>'пеня 2023'!C276+'пеня 2023'!H276+'пеня 2023'!L276+'пеня 2023'!P276</f>
        <v>48735.76</v>
      </c>
      <c r="H56" s="61">
        <f>'пеня 2023'!D276+'пеня 2023'!I276+'пеня 2023'!M276+'пеня 2023'!R276</f>
        <v>50018.649999999994</v>
      </c>
      <c r="I56" s="1476">
        <f>'пеня 2023'!C308+'пеня 2023'!H308+'пеня 2023'!L308+'пеня 2023'!P308</f>
        <v>47948.31</v>
      </c>
      <c r="J56" s="1477">
        <f>'пеня 2023'!D308+'пеня 2023'!I308+'пеня 2023'!M308+'пеня 2023'!R308</f>
        <v>49171.119999999995</v>
      </c>
      <c r="K56" s="1478">
        <f>'пеня 2023'!C341+'пеня 2023'!H341+'пеня 2023'!L341+'пеня 2023'!P341</f>
        <v>48803.07</v>
      </c>
      <c r="L56" s="1479">
        <f>'пеня 2023'!D341+'пеня 2023'!I341+'пеня 2023'!M341+'пеня 2023'!R341</f>
        <v>59877.95999999999</v>
      </c>
      <c r="M56" s="1474">
        <f>'пеня 2023'!C372+'пеня 2023'!H372+'пеня 2023'!L372+'пеня 2023'!P372</f>
        <v>48772.57</v>
      </c>
      <c r="N56" s="1475">
        <f>'пеня 2023'!D372+'пеня 2023'!I372+'пеня 2023'!M372+'пеня 2023'!R372</f>
        <v>51371.28</v>
      </c>
      <c r="O56" s="48">
        <f>'пеня 2023'!C404+'пеня 2023'!H404+'пеня 2023'!L404+'пеня 2023'!P404</f>
        <v>48712.13</v>
      </c>
      <c r="P56" s="48">
        <f>'пеня 2023'!D404+'пеня 2023'!I404+'пеня 2023'!M404+'пеня 2023'!R404</f>
        <v>49809.689999999995</v>
      </c>
      <c r="Q56" s="273">
        <f t="shared" si="11"/>
        <v>596972.0599999999</v>
      </c>
      <c r="R56" s="273">
        <f t="shared" si="12"/>
        <v>605082.5999999999</v>
      </c>
      <c r="S56" s="60">
        <f t="shared" si="13"/>
        <v>-8110.539999999921</v>
      </c>
      <c r="T56" s="219">
        <f t="shared" si="7"/>
        <v>4981778.01</v>
      </c>
      <c r="U56" s="220">
        <f t="shared" si="14"/>
        <v>4894563.53</v>
      </c>
      <c r="V56" s="47">
        <f t="shared" si="16"/>
        <v>87214.47999999952</v>
      </c>
      <c r="W56" s="36">
        <f>653525+123000+244013</f>
        <v>1020538</v>
      </c>
      <c r="X56" s="48"/>
      <c r="Y56" s="3"/>
      <c r="Z56" s="217"/>
      <c r="AA56" s="742" t="s">
        <v>208</v>
      </c>
      <c r="AB56" s="743">
        <f t="shared" si="15"/>
        <v>98.24933026271077</v>
      </c>
      <c r="AC56" s="51"/>
      <c r="AD56" s="39"/>
    </row>
    <row r="57" spans="1:30" ht="15.75" thickBot="1">
      <c r="A57" s="741" t="s">
        <v>150</v>
      </c>
      <c r="B57" s="254">
        <f t="shared" si="8"/>
        <v>1604845.0300000012</v>
      </c>
      <c r="C57" s="254">
        <f t="shared" si="9"/>
        <v>1585620.3100000005</v>
      </c>
      <c r="D57" s="327">
        <f t="shared" si="10"/>
        <v>19224.72000000067</v>
      </c>
      <c r="E57" s="1400">
        <f>'пеня 2023'!C245+'пеня 2023'!H245+'пеня 2023'!L245+'пеня 2023'!P245</f>
        <v>16835.72</v>
      </c>
      <c r="F57" s="1401">
        <f>'пеня 2023'!D245+'пеня 2023'!I245+'пеня 2023'!M245+'пеня 2023'!R245</f>
        <v>21081.190000000002</v>
      </c>
      <c r="G57" s="48">
        <f>'пеня 2023'!C277+'пеня 2023'!H277+'пеня 2023'!L277+'пеня 2023'!P277</f>
        <v>16818.420000000002</v>
      </c>
      <c r="H57" s="61">
        <f>'пеня 2023'!D277+'пеня 2023'!I277+'пеня 2023'!M277+'пеня 2023'!R277</f>
        <v>15120.5</v>
      </c>
      <c r="I57" s="1476">
        <f>'пеня 2023'!C309+'пеня 2023'!H309+'пеня 2023'!L309+'пеня 2023'!P309</f>
        <v>16964.84</v>
      </c>
      <c r="J57" s="1477">
        <f>'пеня 2023'!D309+'пеня 2023'!I309+'пеня 2023'!M309+'пеня 2023'!R309</f>
        <v>16941.83</v>
      </c>
      <c r="K57" s="1478">
        <f>'пеня 2023'!C342+'пеня 2023'!H342+'пеня 2023'!L342+'пеня 2023'!P342</f>
        <v>16830.87</v>
      </c>
      <c r="L57" s="1479">
        <f>'пеня 2023'!D342+'пеня 2023'!I342+'пеня 2023'!M342+'пеня 2023'!R342</f>
        <v>17309.93</v>
      </c>
      <c r="M57" s="1474">
        <f>'пеня 2023'!C373+'пеня 2023'!H373+'пеня 2023'!L373+'пеня 2023'!P373</f>
        <v>16830.16</v>
      </c>
      <c r="N57" s="1475">
        <f>'пеня 2023'!D373+'пеня 2023'!I373+'пеня 2023'!M373+'пеня 2023'!R373</f>
        <v>17730.149999999998</v>
      </c>
      <c r="O57" s="48">
        <f>'пеня 2023'!C405+'пеня 2023'!H405+'пеня 2023'!L405+'пеня 2023'!P405</f>
        <v>16858.87</v>
      </c>
      <c r="P57" s="48">
        <f>'пеня 2023'!D405+'пеня 2023'!I405+'пеня 2023'!M405+'пеня 2023'!R405</f>
        <v>24386.469999999998</v>
      </c>
      <c r="Q57" s="273">
        <f t="shared" si="11"/>
        <v>202216.72999999998</v>
      </c>
      <c r="R57" s="273">
        <f t="shared" si="12"/>
        <v>209756.64999999997</v>
      </c>
      <c r="S57" s="60">
        <f t="shared" si="13"/>
        <v>-7539.919999999984</v>
      </c>
      <c r="T57" s="219">
        <f t="shared" si="7"/>
        <v>1705983.9100000013</v>
      </c>
      <c r="U57" s="220">
        <f t="shared" si="14"/>
        <v>1698190.3800000004</v>
      </c>
      <c r="V57" s="47">
        <f t="shared" si="16"/>
        <v>7793.530000000959</v>
      </c>
      <c r="W57" s="36">
        <f>220000+1291000</f>
        <v>1511000</v>
      </c>
      <c r="X57" s="48"/>
      <c r="Y57" s="3"/>
      <c r="Z57" s="217"/>
      <c r="AA57" s="789" t="s">
        <v>120</v>
      </c>
      <c r="AB57" s="743">
        <f t="shared" si="15"/>
        <v>99.54316509350895</v>
      </c>
      <c r="AC57" s="51"/>
      <c r="AD57" s="39"/>
    </row>
    <row r="58" spans="1:30" ht="23.25" customHeight="1">
      <c r="A58" s="778" t="s">
        <v>190</v>
      </c>
      <c r="B58" s="254">
        <f t="shared" si="8"/>
        <v>4782082.340000001</v>
      </c>
      <c r="C58" s="254">
        <f t="shared" si="9"/>
        <v>4537714.370000001</v>
      </c>
      <c r="D58" s="327">
        <f t="shared" si="10"/>
        <v>244367.96999999974</v>
      </c>
      <c r="E58" s="1400">
        <f>'пеня 2023'!C246+'пеня 2023'!H246+'пеня 2023'!L246+'пеня 2023'!P246</f>
        <v>47509.46000000001</v>
      </c>
      <c r="F58" s="1401">
        <f>'пеня 2023'!D246+'пеня 2023'!I246+'пеня 2023'!M246+'пеня 2023'!R246</f>
        <v>44523.41</v>
      </c>
      <c r="G58" s="48">
        <f>'пеня 2023'!C278+'пеня 2023'!H278+'пеня 2023'!L278+'пеня 2023'!P278</f>
        <v>47552.560000000005</v>
      </c>
      <c r="H58" s="61">
        <f>'пеня 2023'!D278+'пеня 2023'!I278+'пеня 2023'!M278+'пеня 2023'!R278</f>
        <v>49810.4</v>
      </c>
      <c r="I58" s="1476">
        <f>'пеня 2023'!C310+'пеня 2023'!H310+'пеня 2023'!L310+'пеня 2023'!P310</f>
        <v>47546.76000000001</v>
      </c>
      <c r="J58" s="1477">
        <f>'пеня 2023'!D310+'пеня 2023'!I310+'пеня 2023'!M310+'пеня 2023'!R310</f>
        <v>47568.920000000006</v>
      </c>
      <c r="K58" s="1478">
        <f>'пеня 2023'!C343+'пеня 2023'!H343+'пеня 2023'!L343+'пеня 2023'!P343</f>
        <v>47544.31000000001</v>
      </c>
      <c r="L58" s="1479">
        <f>'пеня 2023'!D343+'пеня 2023'!I343+'пеня 2023'!M343+'пеня 2023'!R343</f>
        <v>58072.770000000004</v>
      </c>
      <c r="M58" s="1474">
        <f>'пеня 2023'!C374+'пеня 2023'!H374+'пеня 2023'!L374+'пеня 2023'!P374</f>
        <v>47512.130000000005</v>
      </c>
      <c r="N58" s="1475">
        <f>'пеня 2023'!D374+'пеня 2023'!I374+'пеня 2023'!M374+'пеня 2023'!R374</f>
        <v>46632.76</v>
      </c>
      <c r="O58" s="48">
        <f>'пеня 2023'!C406+'пеня 2023'!H406+'пеня 2023'!L406+'пеня 2023'!P406</f>
        <v>47611.41</v>
      </c>
      <c r="P58" s="48">
        <f>'пеня 2023'!D406+'пеня 2023'!I406+'пеня 2023'!M406+'пеня 2023'!R406</f>
        <v>52717.8</v>
      </c>
      <c r="Q58" s="273">
        <f t="shared" si="11"/>
        <v>566513.18</v>
      </c>
      <c r="R58" s="273">
        <f t="shared" si="12"/>
        <v>634018.01</v>
      </c>
      <c r="S58" s="60">
        <f t="shared" si="13"/>
        <v>-67504.82999999996</v>
      </c>
      <c r="T58" s="219">
        <f t="shared" si="7"/>
        <v>5067358.97</v>
      </c>
      <c r="U58" s="220">
        <f t="shared" si="14"/>
        <v>4837040.430000001</v>
      </c>
      <c r="V58" s="47">
        <f t="shared" si="16"/>
        <v>230318.5399999991</v>
      </c>
      <c r="W58" s="256">
        <f>543300+281411</f>
        <v>824711</v>
      </c>
      <c r="X58" s="48"/>
      <c r="Y58" s="3"/>
      <c r="Z58" s="787"/>
      <c r="AA58" s="790" t="s">
        <v>190</v>
      </c>
      <c r="AB58" s="743">
        <f t="shared" si="15"/>
        <v>95.45486038459993</v>
      </c>
      <c r="AC58" s="51"/>
      <c r="AD58" s="39"/>
    </row>
    <row r="59" spans="1:28" ht="15">
      <c r="A59" s="779" t="s">
        <v>191</v>
      </c>
      <c r="B59" s="254">
        <f t="shared" si="8"/>
        <v>5726347.159999999</v>
      </c>
      <c r="C59" s="254">
        <f t="shared" si="9"/>
        <v>5101288.350000001</v>
      </c>
      <c r="D59" s="327">
        <f t="shared" si="10"/>
        <v>625058.8099999987</v>
      </c>
      <c r="E59" s="1400">
        <f>'пеня 2023'!C247+'пеня 2023'!H247+'пеня 2023'!L247+'пеня 2023'!P247</f>
        <v>54796.490000000005</v>
      </c>
      <c r="F59" s="1401">
        <f>'пеня 2023'!D247+'пеня 2023'!I247+'пеня 2023'!M247+'пеня 2023'!R247</f>
        <v>61745.549999999996</v>
      </c>
      <c r="G59" s="48">
        <f>'пеня 2023'!C279+'пеня 2023'!H279+'пеня 2023'!L279+'пеня 2023'!P279</f>
        <v>55116.55</v>
      </c>
      <c r="H59" s="61">
        <f>'пеня 2023'!D279+'пеня 2023'!I279+'пеня 2023'!M279+'пеня 2023'!R279</f>
        <v>57338.310000000005</v>
      </c>
      <c r="I59" s="1476">
        <f>'пеня 2023'!C311+'пеня 2023'!H311+'пеня 2023'!L311+'пеня 2023'!P311</f>
        <v>58026.4</v>
      </c>
      <c r="J59" s="1477">
        <f>'пеня 2023'!D311+'пеня 2023'!I311+'пеня 2023'!M311+'пеня 2023'!R311</f>
        <v>72775.12000000001</v>
      </c>
      <c r="K59" s="1478">
        <f>'пеня 2023'!C344+'пеня 2023'!H344+'пеня 2023'!L344+'пеня 2023'!P344</f>
        <v>54808.450000000004</v>
      </c>
      <c r="L59" s="1479">
        <f>'пеня 2023'!D344+'пеня 2023'!I344+'пеня 2023'!M344+'пеня 2023'!R344</f>
        <v>97539.49</v>
      </c>
      <c r="M59" s="1474">
        <f>'пеня 2023'!C375+'пеня 2023'!H375+'пеня 2023'!L375+'пеня 2023'!P375</f>
        <v>54863.670000000006</v>
      </c>
      <c r="N59" s="1475">
        <f>'пеня 2023'!D375+'пеня 2023'!I375+'пеня 2023'!M375+'пеня 2023'!R375</f>
        <v>53082.29</v>
      </c>
      <c r="O59" s="48">
        <f>'пеня 2023'!C407+'пеня 2023'!H407+'пеня 2023'!L407+'пеня 2023'!P407</f>
        <v>57636.83</v>
      </c>
      <c r="P59" s="48">
        <f>'пеня 2023'!D407+'пеня 2023'!I407+'пеня 2023'!M407+'пеня 2023'!R407</f>
        <v>79685.84999999999</v>
      </c>
      <c r="Q59" s="273">
        <f t="shared" si="11"/>
        <v>668550.86</v>
      </c>
      <c r="R59" s="273">
        <f t="shared" si="12"/>
        <v>748118.4500000001</v>
      </c>
      <c r="S59" s="60">
        <f t="shared" si="13"/>
        <v>-79567.59000000008</v>
      </c>
      <c r="T59" s="219">
        <f t="shared" si="7"/>
        <v>6061595.55</v>
      </c>
      <c r="U59" s="220">
        <f t="shared" si="14"/>
        <v>5523454.96</v>
      </c>
      <c r="V59" s="47">
        <f t="shared" si="16"/>
        <v>538140.5899999999</v>
      </c>
      <c r="W59" s="256">
        <f>699308+1630000+393476</f>
        <v>2722784</v>
      </c>
      <c r="X59" s="48"/>
      <c r="Y59" s="3"/>
      <c r="Z59" s="788"/>
      <c r="AA59" s="791" t="s">
        <v>191</v>
      </c>
      <c r="AB59" s="743">
        <f t="shared" si="15"/>
        <v>91.12212971715013</v>
      </c>
    </row>
    <row r="60" spans="1:28" ht="15">
      <c r="A60" s="779" t="s">
        <v>217</v>
      </c>
      <c r="B60" s="254">
        <f t="shared" si="8"/>
        <v>4820035.28</v>
      </c>
      <c r="C60" s="254">
        <f t="shared" si="9"/>
        <v>4552274.009999999</v>
      </c>
      <c r="D60" s="327">
        <f t="shared" si="10"/>
        <v>267761.2700000014</v>
      </c>
      <c r="E60" s="1400">
        <f>'пеня 2023'!C248+'пеня 2023'!H248+'пеня 2023'!L248+'пеня 2023'!P248</f>
        <v>50009.950000000004</v>
      </c>
      <c r="F60" s="1401">
        <f>'пеня 2023'!D248+'пеня 2023'!I248+'пеня 2023'!M248+'пеня 2023'!R248</f>
        <v>48122.29</v>
      </c>
      <c r="G60" s="48">
        <f>'пеня 2023'!C280+'пеня 2023'!H280+'пеня 2023'!L280+'пеня 2023'!P280</f>
        <v>47783.58</v>
      </c>
      <c r="H60" s="61">
        <f>'пеня 2023'!D280+'пеня 2023'!I280+'пеня 2023'!M280+'пеня 2023'!R280</f>
        <v>46934.18</v>
      </c>
      <c r="I60" s="1476">
        <f>'пеня 2023'!C312+'пеня 2023'!H312+'пеня 2023'!L312+'пеня 2023'!P312</f>
        <v>47797.55</v>
      </c>
      <c r="J60" s="1477">
        <f>'пеня 2023'!D312+'пеня 2023'!I312+'пеня 2023'!M312+'пеня 2023'!R312</f>
        <v>45239.76</v>
      </c>
      <c r="K60" s="1478">
        <f>'пеня 2023'!C345+'пеня 2023'!H345+'пеня 2023'!L345+'пеня 2023'!P345</f>
        <v>50038.350000000006</v>
      </c>
      <c r="L60" s="1479">
        <f>'пеня 2023'!D345+'пеня 2023'!I345+'пеня 2023'!M345+'пеня 2023'!R345</f>
        <v>49456.810000000005</v>
      </c>
      <c r="M60" s="1474">
        <f>'пеня 2023'!C376+'пеня 2023'!H376+'пеня 2023'!L376+'пеня 2023'!P376</f>
        <v>47790.23</v>
      </c>
      <c r="N60" s="1475">
        <f>'пеня 2023'!D376+'пеня 2023'!I376+'пеня 2023'!M376+'пеня 2023'!R376</f>
        <v>43703.380000000005</v>
      </c>
      <c r="O60" s="48">
        <f>'пеня 2023'!C408+'пеня 2023'!H408+'пеня 2023'!L408+'пеня 2023'!P408</f>
        <v>47834.55</v>
      </c>
      <c r="P60" s="48">
        <f>'пеня 2023'!D408+'пеня 2023'!I408+'пеня 2023'!M408+'пеня 2023'!R408</f>
        <v>53461.47</v>
      </c>
      <c r="Q60" s="273">
        <f t="shared" si="11"/>
        <v>582345.54</v>
      </c>
      <c r="R60" s="273">
        <f t="shared" si="12"/>
        <v>580918.8399999999</v>
      </c>
      <c r="S60" s="60">
        <f t="shared" si="13"/>
        <v>1426.7000000001863</v>
      </c>
      <c r="T60" s="219">
        <f t="shared" si="7"/>
        <v>5111289.49</v>
      </c>
      <c r="U60" s="220">
        <f t="shared" si="14"/>
        <v>4839191.899999998</v>
      </c>
      <c r="V60" s="47">
        <f t="shared" si="16"/>
        <v>272097.59000000264</v>
      </c>
      <c r="W60" s="256">
        <f>630000+152419</f>
        <v>782419</v>
      </c>
      <c r="X60" s="48"/>
      <c r="Y60" s="3"/>
      <c r="Z60" s="788"/>
      <c r="AA60" s="791" t="s">
        <v>219</v>
      </c>
      <c r="AB60" s="743">
        <f t="shared" si="15"/>
        <v>94.6765372900058</v>
      </c>
    </row>
    <row r="61" spans="1:28" ht="15.75" thickBot="1">
      <c r="A61" s="779" t="s">
        <v>230</v>
      </c>
      <c r="B61" s="254">
        <f t="shared" si="8"/>
        <v>1835872.5099999995</v>
      </c>
      <c r="C61" s="254">
        <f t="shared" si="9"/>
        <v>1679369.97</v>
      </c>
      <c r="D61" s="327">
        <f t="shared" si="10"/>
        <v>156502.53999999957</v>
      </c>
      <c r="E61" s="1400">
        <f>'пеня 2023'!C249+'пеня 2023'!H249+'пеня 2023'!L249+'пеня 2023'!P249</f>
        <v>17858.95</v>
      </c>
      <c r="F61" s="1401">
        <f>'пеня 2023'!D249+'пеня 2023'!I249+'пеня 2023'!M249+'пеня 2023'!R249</f>
        <v>16695.16</v>
      </c>
      <c r="G61" s="48">
        <f>'пеня 2023'!C281+'пеня 2023'!H281+'пеня 2023'!L281+'пеня 2023'!P281</f>
        <v>17826.61</v>
      </c>
      <c r="H61" s="61">
        <f>'пеня 2023'!D281+'пеня 2023'!I281+'пеня 2023'!M281+'пеня 2023'!R281</f>
        <v>16997.73</v>
      </c>
      <c r="I61" s="1476">
        <f>'пеня 2023'!C313+'пеня 2023'!H313+'пеня 2023'!L313+'пеня 2023'!P313</f>
        <v>17878.97</v>
      </c>
      <c r="J61" s="1477">
        <f>'пеня 2023'!D313+'пеня 2023'!I313+'пеня 2023'!M313+'пеня 2023'!R313</f>
        <v>18676.300000000003</v>
      </c>
      <c r="K61" s="1478">
        <f>'пеня 2023'!C346+'пеня 2023'!H346+'пеня 2023'!L346+'пеня 2023'!P346</f>
        <v>17826.65</v>
      </c>
      <c r="L61" s="1479">
        <f>'пеня 2023'!D346+'пеня 2023'!I346+'пеня 2023'!M346+'пеня 2023'!R346</f>
        <v>22243.92</v>
      </c>
      <c r="M61" s="1474">
        <f>'пеня 2023'!C377+'пеня 2023'!H377+'пеня 2023'!L377+'пеня 2023'!P377</f>
        <v>17804.280000000002</v>
      </c>
      <c r="N61" s="1475">
        <f>'пеня 2023'!D377+'пеня 2023'!I377+'пеня 2023'!M377+'пеня 2023'!R377</f>
        <v>16634.780000000002</v>
      </c>
      <c r="O61" s="48">
        <f>'пеня 2023'!C409+'пеня 2023'!H409+'пеня 2023'!L409+'пеня 2023'!P409</f>
        <v>17786.760000000002</v>
      </c>
      <c r="P61" s="48">
        <f>'пеня 2023'!D409+'пеня 2023'!I409+'пеня 2023'!M409+'пеня 2023'!R409</f>
        <v>17178.100000000002</v>
      </c>
      <c r="Q61" s="273">
        <f t="shared" si="11"/>
        <v>214338.75999999998</v>
      </c>
      <c r="R61" s="273">
        <f t="shared" si="12"/>
        <v>251003.61</v>
      </c>
      <c r="S61" s="60">
        <f t="shared" si="13"/>
        <v>-36664.850000000006</v>
      </c>
      <c r="T61" s="219">
        <f t="shared" si="7"/>
        <v>1942854.7299999995</v>
      </c>
      <c r="U61" s="220">
        <f t="shared" si="14"/>
        <v>1787795.96</v>
      </c>
      <c r="V61" s="47">
        <f t="shared" si="16"/>
        <v>155058.76999999955</v>
      </c>
      <c r="W61" s="1053">
        <f>277043+169683+108028</f>
        <v>554754</v>
      </c>
      <c r="X61" s="48"/>
      <c r="Y61" s="3"/>
      <c r="Z61" s="3"/>
      <c r="AA61" s="1054" t="s">
        <v>231</v>
      </c>
      <c r="AB61" s="743">
        <f t="shared" si="15"/>
        <v>92.01902398539083</v>
      </c>
    </row>
    <row r="62" spans="1:28" ht="15">
      <c r="A62" s="779" t="s">
        <v>301</v>
      </c>
      <c r="B62" s="254">
        <f t="shared" si="8"/>
        <v>6805839.490000001</v>
      </c>
      <c r="C62" s="254">
        <f t="shared" si="9"/>
        <v>5907166.410000002</v>
      </c>
      <c r="D62" s="327">
        <f t="shared" si="10"/>
        <v>898673.0799999991</v>
      </c>
      <c r="E62" s="1400">
        <f>'пеня 2023'!C250+'пеня 2023'!H250+'пеня 2023'!L250+'пеня 2023'!P250</f>
        <v>64921.9</v>
      </c>
      <c r="F62" s="1401">
        <f>'пеня 2023'!D250+'пеня 2023'!I250+'пеня 2023'!M250+'пеня 2023'!R250</f>
        <v>78039.79</v>
      </c>
      <c r="G62" s="48">
        <f>'пеня 2023'!C282+'пеня 2023'!H282+'пеня 2023'!L282+'пеня 2023'!P282</f>
        <v>65109.159999999996</v>
      </c>
      <c r="H62" s="61">
        <f>'пеня 2023'!D282+'пеня 2023'!I282+'пеня 2023'!M282+'пеня 2023'!R282</f>
        <v>69837.13999999998</v>
      </c>
      <c r="I62" s="1476">
        <f>'пеня 2023'!C314+'пеня 2023'!H314+'пеня 2023'!L314+'пеня 2023'!P314</f>
        <v>64922.74</v>
      </c>
      <c r="J62" s="1477">
        <f>'пеня 2023'!D314+'пеня 2023'!I314+'пеня 2023'!M314+'пеня 2023'!R314</f>
        <v>82373.86</v>
      </c>
      <c r="K62" s="1478">
        <f>'пеня 2023'!C347+'пеня 2023'!H347+'пеня 2023'!L347+'пеня 2023'!P347</f>
        <v>64788.53999999999</v>
      </c>
      <c r="L62" s="1479">
        <f>'пеня 2023'!D347+'пеня 2023'!I347+'пеня 2023'!M347+'пеня 2023'!R347</f>
        <v>60159.27999999999</v>
      </c>
      <c r="M62" s="1474">
        <f>'пеня 2023'!C378+'пеня 2023'!H378+'пеня 2023'!L378+'пеня 2023'!P378</f>
        <v>64805.67999999999</v>
      </c>
      <c r="N62" s="1475">
        <f>'пеня 2023'!D378+'пеня 2023'!I378+'пеня 2023'!M378+'пеня 2023'!R378</f>
        <v>70152.26</v>
      </c>
      <c r="O62" s="48">
        <f>'пеня 2023'!C410+'пеня 2023'!H410+'пеня 2023'!L410+'пеня 2023'!P410</f>
        <v>64782.979999999996</v>
      </c>
      <c r="P62" s="48">
        <f>'пеня 2023'!D410+'пеня 2023'!I410+'пеня 2023'!M410+'пеня 2023'!R410</f>
        <v>80812.87</v>
      </c>
      <c r="Q62" s="273">
        <f t="shared" si="11"/>
        <v>780649.49</v>
      </c>
      <c r="R62" s="273">
        <f t="shared" si="12"/>
        <v>924133.89</v>
      </c>
      <c r="S62" s="60">
        <f t="shared" si="13"/>
        <v>-143484.40000000002</v>
      </c>
      <c r="T62" s="219">
        <f t="shared" si="7"/>
        <v>7195170.490000002</v>
      </c>
      <c r="U62" s="220">
        <f t="shared" si="14"/>
        <v>6348541.610000002</v>
      </c>
      <c r="V62" s="47">
        <f t="shared" si="16"/>
        <v>846628.8799999999</v>
      </c>
      <c r="W62" s="1053">
        <f>1200000+438000</f>
        <v>1638000</v>
      </c>
      <c r="X62" s="48"/>
      <c r="Y62" s="3"/>
      <c r="Z62" s="3"/>
      <c r="AA62" s="779" t="s">
        <v>301</v>
      </c>
      <c r="AB62" s="743"/>
    </row>
    <row r="63" spans="1:28" ht="15.75" thickBot="1">
      <c r="A63" s="779" t="s">
        <v>315</v>
      </c>
      <c r="B63" s="254">
        <f t="shared" si="8"/>
        <v>7720241.490000001</v>
      </c>
      <c r="C63" s="254">
        <f t="shared" si="9"/>
        <v>6458326.319999999</v>
      </c>
      <c r="D63" s="327">
        <f t="shared" si="10"/>
        <v>1261915.1700000018</v>
      </c>
      <c r="E63" s="1400">
        <f>'пеня 2023'!C251+'пеня 2023'!H251+'пеня 2023'!L251+'пеня 2023'!P251</f>
        <v>70676.21</v>
      </c>
      <c r="F63" s="1401">
        <f>'пеня 2023'!D251+'пеня 2023'!I251+'пеня 2023'!M251+'пеня 2023'!R251</f>
        <v>92391.16</v>
      </c>
      <c r="G63" s="48">
        <f>'пеня 2023'!C283+'пеня 2023'!H283+'пеня 2023'!L283+'пеня 2023'!P283</f>
        <v>70735.72</v>
      </c>
      <c r="H63" s="61">
        <f>'пеня 2023'!D283+'пеня 2023'!I283+'пеня 2023'!M283+'пеня 2023'!R283</f>
        <v>74921.39</v>
      </c>
      <c r="I63" s="1476">
        <f>'пеня 2023'!C315+'пеня 2023'!H315+'пеня 2023'!L315+'пеня 2023'!P315</f>
        <v>71273.5</v>
      </c>
      <c r="J63" s="1477">
        <f>'пеня 2023'!D315+'пеня 2023'!I315+'пеня 2023'!M315+'пеня 2023'!R315</f>
        <v>83611.35</v>
      </c>
      <c r="K63" s="1478">
        <f>'пеня 2023'!C348+'пеня 2023'!H348+'пеня 2023'!L348+'пеня 2023'!P348</f>
        <v>70880.1</v>
      </c>
      <c r="L63" s="1479">
        <f>'пеня 2023'!D348+'пеня 2023'!I348+'пеня 2023'!M348+'пеня 2023'!R348</f>
        <v>103808.05</v>
      </c>
      <c r="M63" s="1474">
        <f>'пеня 2023'!C379+'пеня 2023'!H379+'пеня 2023'!L379+'пеня 2023'!P379</f>
        <v>70736.55</v>
      </c>
      <c r="N63" s="1475">
        <f>'пеня 2023'!D379+'пеня 2023'!I379+'пеня 2023'!M379+'пеня 2023'!R379</f>
        <v>77215.66</v>
      </c>
      <c r="O63" s="48">
        <f>'пеня 2023'!C411+'пеня 2023'!H411+'пеня 2023'!L411+'пеня 2023'!P411</f>
        <v>70926.18000000001</v>
      </c>
      <c r="P63" s="48">
        <f>'пеня 2023'!D411+'пеня 2023'!I411+'пеня 2023'!M411+'пеня 2023'!R411</f>
        <v>87337.2</v>
      </c>
      <c r="Q63" s="273">
        <f t="shared" si="11"/>
        <v>855360.1500000001</v>
      </c>
      <c r="R63" s="273">
        <f t="shared" si="12"/>
        <v>1511115.76</v>
      </c>
      <c r="S63" s="60">
        <f t="shared" si="13"/>
        <v>-655755.6099999999</v>
      </c>
      <c r="T63" s="219">
        <f t="shared" si="7"/>
        <v>8145469.75</v>
      </c>
      <c r="U63" s="220">
        <f t="shared" si="14"/>
        <v>6977611.129999999</v>
      </c>
      <c r="V63" s="47">
        <f>T63-U63</f>
        <v>1167858.620000001</v>
      </c>
      <c r="W63" s="1085">
        <f>255941+1588306+3808853.84</f>
        <v>5653100.84</v>
      </c>
      <c r="X63" s="48"/>
      <c r="Y63" s="1087"/>
      <c r="Z63" s="3"/>
      <c r="AA63" s="779" t="s">
        <v>315</v>
      </c>
      <c r="AB63" s="743"/>
    </row>
    <row r="64" spans="1:27" ht="15.75" thickBot="1">
      <c r="A64" s="347" t="s">
        <v>21</v>
      </c>
      <c r="B64" s="348">
        <f aca="true" t="shared" si="17" ref="B64:H64">SUM(B37:B63)</f>
        <v>111679293.09</v>
      </c>
      <c r="C64" s="349">
        <f t="shared" si="17"/>
        <v>105195673.35</v>
      </c>
      <c r="D64" s="349">
        <f t="shared" si="17"/>
        <v>6483619.740000004</v>
      </c>
      <c r="E64" s="485">
        <f t="shared" si="17"/>
        <v>1122705.5199999998</v>
      </c>
      <c r="F64" s="485">
        <f t="shared" si="17"/>
        <v>1143686.04</v>
      </c>
      <c r="G64" s="486">
        <f t="shared" si="17"/>
        <v>1122444.11</v>
      </c>
      <c r="H64" s="486">
        <f t="shared" si="17"/>
        <v>1110631.24</v>
      </c>
      <c r="I64" s="486">
        <f aca="true" t="shared" si="18" ref="I64:N64">SUM(I37:I63)</f>
        <v>1125415.1600000001</v>
      </c>
      <c r="J64" s="486">
        <f t="shared" si="18"/>
        <v>1246941.6</v>
      </c>
      <c r="K64" s="780">
        <f t="shared" si="18"/>
        <v>1123726.73</v>
      </c>
      <c r="L64" s="1088">
        <f t="shared" si="18"/>
        <v>1415132.37</v>
      </c>
      <c r="M64" s="1089">
        <f t="shared" si="18"/>
        <v>1121759.37</v>
      </c>
      <c r="N64" s="1089">
        <f t="shared" si="18"/>
        <v>1117069.8</v>
      </c>
      <c r="O64" s="1089">
        <f aca="true" t="shared" si="19" ref="O64:W64">SUM(O37:O63)</f>
        <v>1125444.53</v>
      </c>
      <c r="P64" s="1540">
        <f t="shared" si="19"/>
        <v>1301732.1900000002</v>
      </c>
      <c r="Q64" s="781">
        <f t="shared" si="19"/>
        <v>13497124.340000002</v>
      </c>
      <c r="R64" s="781">
        <f>SUM(R37:R63)</f>
        <v>14570697.959999999</v>
      </c>
      <c r="S64" s="782">
        <f t="shared" si="19"/>
        <v>-1073573.6199999996</v>
      </c>
      <c r="T64" s="783">
        <f t="shared" si="19"/>
        <v>118420788.50999999</v>
      </c>
      <c r="U64" s="784">
        <f t="shared" si="19"/>
        <v>112530866.58999996</v>
      </c>
      <c r="V64" s="785">
        <f t="shared" si="19"/>
        <v>5889921.920000008</v>
      </c>
      <c r="W64" s="1052">
        <f t="shared" si="19"/>
        <v>61344536.89999999</v>
      </c>
      <c r="X64" s="1051"/>
      <c r="Y64" s="684"/>
      <c r="Z64" s="684"/>
      <c r="AA64" s="786"/>
    </row>
    <row r="65" ht="15">
      <c r="V65" s="39"/>
    </row>
    <row r="66" spans="17:19" ht="15">
      <c r="Q66" s="39">
        <f>E33+G33+I33+K33+M33+O33+E64+G64+I64+K64+M64+O64</f>
        <v>13497124.340000002</v>
      </c>
      <c r="R66" s="39">
        <f>F33+H33+J33+L33+N33+P33+F64+H64+J64+L64+N64+P64</f>
        <v>14570697.959999999</v>
      </c>
      <c r="S66" s="39">
        <f>Q66-R66</f>
        <v>-1073573.6199999973</v>
      </c>
    </row>
    <row r="73" spans="7:10" ht="15">
      <c r="G73" s="57"/>
      <c r="H73" s="50"/>
      <c r="I73" s="50"/>
      <c r="J73" s="50"/>
    </row>
    <row r="74" spans="7:10" ht="15">
      <c r="G74" s="50"/>
      <c r="H74" s="50"/>
      <c r="I74" s="50"/>
      <c r="J74" s="50"/>
    </row>
    <row r="75" spans="7:10" ht="15">
      <c r="G75" s="50"/>
      <c r="H75" s="50"/>
      <c r="I75" s="50"/>
      <c r="J75" s="50"/>
    </row>
    <row r="76" spans="7:10" ht="15">
      <c r="G76" s="50"/>
      <c r="H76" s="50"/>
      <c r="I76" s="50"/>
      <c r="J76" s="50"/>
    </row>
    <row r="77" spans="7:10" ht="15">
      <c r="G77" s="50"/>
      <c r="H77" s="50"/>
      <c r="I77" s="50"/>
      <c r="J77" s="50"/>
    </row>
    <row r="78" ht="15">
      <c r="G78" s="50"/>
    </row>
    <row r="80" spans="7:9" ht="15">
      <c r="G80" s="39"/>
      <c r="I80" s="39"/>
    </row>
    <row r="81" spans="7:9" ht="15">
      <c r="G81" s="39"/>
      <c r="I81" s="39"/>
    </row>
    <row r="82" spans="7:9" ht="15">
      <c r="G82" s="39"/>
      <c r="I82" s="39"/>
    </row>
    <row r="83" spans="7:9" ht="15">
      <c r="G83" s="39"/>
      <c r="I83" s="39"/>
    </row>
    <row r="84" spans="7:9" ht="15">
      <c r="G84" s="39"/>
      <c r="I84" s="39"/>
    </row>
    <row r="85" spans="7:9" ht="15">
      <c r="G85" s="39"/>
      <c r="I85" s="39"/>
    </row>
    <row r="86" spans="7:9" ht="15">
      <c r="G86" s="39"/>
      <c r="I86" s="39"/>
    </row>
    <row r="87" spans="7:9" ht="15">
      <c r="G87" s="39"/>
      <c r="I87" s="39"/>
    </row>
    <row r="88" spans="7:9" ht="15">
      <c r="G88" s="39"/>
      <c r="I88" s="39"/>
    </row>
    <row r="89" spans="7:9" ht="15">
      <c r="G89" s="39"/>
      <c r="I89" s="39"/>
    </row>
    <row r="94" spans="1:5" ht="15">
      <c r="A94" s="1699"/>
      <c r="B94" s="1699"/>
      <c r="C94" s="1699"/>
      <c r="D94" s="1699"/>
      <c r="E94" s="1699"/>
    </row>
    <row r="95" spans="1:5" ht="15">
      <c r="A95" s="1699"/>
      <c r="B95" s="1699"/>
      <c r="C95" s="1699"/>
      <c r="D95" s="1699"/>
      <c r="E95" s="1699"/>
    </row>
    <row r="96" spans="1:7" ht="15">
      <c r="A96" s="41"/>
      <c r="B96" s="1678"/>
      <c r="C96" s="1678"/>
      <c r="D96" s="1678"/>
      <c r="E96" s="1678"/>
      <c r="F96" s="1678"/>
      <c r="G96" s="1678"/>
    </row>
    <row r="97" spans="1:7" ht="15">
      <c r="A97" s="41"/>
      <c r="B97" s="41"/>
      <c r="C97" s="41"/>
      <c r="D97" s="41"/>
      <c r="E97" s="41"/>
      <c r="F97" s="41"/>
      <c r="G97" s="41"/>
    </row>
    <row r="98" spans="1:7" ht="15">
      <c r="A98" s="65"/>
      <c r="B98" s="41"/>
      <c r="C98" s="41"/>
      <c r="D98" s="41"/>
      <c r="E98" s="41"/>
      <c r="F98" s="41"/>
      <c r="G98" s="41"/>
    </row>
    <row r="99" spans="1:7" ht="15">
      <c r="A99" s="66"/>
      <c r="B99" s="41"/>
      <c r="C99" s="41"/>
      <c r="D99" s="41"/>
      <c r="E99" s="41"/>
      <c r="F99" s="41"/>
      <c r="G99" s="41"/>
    </row>
    <row r="100" spans="1:7" ht="15">
      <c r="A100" s="65"/>
      <c r="B100" s="41"/>
      <c r="C100" s="41"/>
      <c r="D100" s="41"/>
      <c r="E100" s="41"/>
      <c r="F100" s="41"/>
      <c r="G100" s="41"/>
    </row>
    <row r="101" spans="1:7" ht="15">
      <c r="A101" s="66"/>
      <c r="B101" s="41"/>
      <c r="C101" s="41"/>
      <c r="D101" s="41"/>
      <c r="E101" s="41"/>
      <c r="F101" s="41"/>
      <c r="G101" s="41"/>
    </row>
    <row r="102" spans="1:7" ht="15">
      <c r="A102" s="41"/>
      <c r="B102" s="41"/>
      <c r="C102" s="41"/>
      <c r="D102" s="41"/>
      <c r="E102" s="41"/>
      <c r="F102" s="41"/>
      <c r="G102" s="41"/>
    </row>
    <row r="103" spans="1:7" ht="15">
      <c r="A103" s="41"/>
      <c r="B103" s="41"/>
      <c r="C103" s="41"/>
      <c r="D103" s="41"/>
      <c r="E103" s="41"/>
      <c r="F103" s="41"/>
      <c r="G103" s="41"/>
    </row>
    <row r="104" spans="1:7" ht="15">
      <c r="A104" s="67"/>
      <c r="B104" s="41"/>
      <c r="C104" s="41"/>
      <c r="D104" s="41"/>
      <c r="E104" s="41"/>
      <c r="F104" s="41"/>
      <c r="G104" s="41"/>
    </row>
    <row r="105" spans="1:7" ht="15">
      <c r="A105" s="41"/>
      <c r="B105" s="41"/>
      <c r="C105" s="41"/>
      <c r="D105" s="41"/>
      <c r="E105" s="41"/>
      <c r="F105" s="41"/>
      <c r="G105" s="41"/>
    </row>
    <row r="106" spans="1:7" ht="15">
      <c r="A106" s="41"/>
      <c r="B106" s="41"/>
      <c r="C106" s="41"/>
      <c r="D106" s="41"/>
      <c r="E106" s="41"/>
      <c r="F106" s="41"/>
      <c r="G106" s="41"/>
    </row>
    <row r="107" spans="1:7" ht="15">
      <c r="A107" s="41"/>
      <c r="B107" s="41"/>
      <c r="C107" s="41"/>
      <c r="D107" s="41"/>
      <c r="E107" s="41"/>
      <c r="F107" s="41"/>
      <c r="G107" s="41"/>
    </row>
    <row r="108" spans="1:7" ht="15">
      <c r="A108" s="59"/>
      <c r="B108" s="41"/>
      <c r="C108" s="41"/>
      <c r="D108" s="41"/>
      <c r="E108" s="41"/>
      <c r="F108" s="41"/>
      <c r="G108" s="41"/>
    </row>
    <row r="109" spans="1:7" ht="15">
      <c r="A109" s="41"/>
      <c r="B109" s="41"/>
      <c r="C109" s="41"/>
      <c r="D109" s="41"/>
      <c r="E109" s="41"/>
      <c r="F109" s="41"/>
      <c r="G109" s="41"/>
    </row>
    <row r="110" spans="1:7" ht="15">
      <c r="A110" s="59"/>
      <c r="B110" s="41"/>
      <c r="C110" s="41"/>
      <c r="D110" s="41"/>
      <c r="E110" s="41"/>
      <c r="F110" s="41"/>
      <c r="G110" s="41"/>
    </row>
    <row r="111" spans="1:7" ht="15">
      <c r="A111" s="41"/>
      <c r="B111" s="41"/>
      <c r="C111" s="41"/>
      <c r="D111" s="41"/>
      <c r="E111" s="41"/>
      <c r="F111" s="41"/>
      <c r="G111" s="41"/>
    </row>
    <row r="112" spans="1:7" ht="15">
      <c r="A112" s="41"/>
      <c r="B112" s="41"/>
      <c r="C112" s="41"/>
      <c r="D112" s="41"/>
      <c r="E112" s="41"/>
      <c r="F112" s="41"/>
      <c r="G112" s="41"/>
    </row>
    <row r="113" spans="1:7" ht="15">
      <c r="A113" s="59"/>
      <c r="B113" s="41"/>
      <c r="C113" s="41"/>
      <c r="D113" s="41"/>
      <c r="E113" s="41"/>
      <c r="F113" s="41"/>
      <c r="G113" s="41"/>
    </row>
    <row r="114" spans="1:7" ht="15">
      <c r="A114" s="64" t="s">
        <v>49</v>
      </c>
      <c r="B114" s="41">
        <v>93460.1</v>
      </c>
      <c r="C114" s="41"/>
      <c r="D114" s="41"/>
      <c r="E114" s="41"/>
      <c r="F114" s="41"/>
      <c r="G114" s="41"/>
    </row>
    <row r="115" spans="1:7" ht="15">
      <c r="A115" s="41" t="s">
        <v>19</v>
      </c>
      <c r="B115" s="41">
        <v>55435.09</v>
      </c>
      <c r="C115" s="41"/>
      <c r="D115" s="41"/>
      <c r="E115" s="41"/>
      <c r="F115" s="41"/>
      <c r="G115" s="41"/>
    </row>
    <row r="116" spans="1:7" ht="15">
      <c r="A116" s="41" t="s">
        <v>20</v>
      </c>
      <c r="B116" s="41">
        <v>32290.87</v>
      </c>
      <c r="C116" s="41"/>
      <c r="D116" s="41"/>
      <c r="E116" s="41"/>
      <c r="F116" s="41"/>
      <c r="G116" s="41"/>
    </row>
    <row r="117" spans="1:7" ht="15">
      <c r="A117" s="41" t="s">
        <v>21</v>
      </c>
      <c r="B117" s="41">
        <f>SUM(B98:B116)</f>
        <v>181186.06</v>
      </c>
      <c r="C117" s="41"/>
      <c r="D117" s="41"/>
      <c r="E117" s="41"/>
      <c r="F117" s="41"/>
      <c r="G117" s="41"/>
    </row>
  </sheetData>
  <sheetProtection/>
  <mergeCells count="21">
    <mergeCell ref="A94:E95"/>
    <mergeCell ref="G35:H35"/>
    <mergeCell ref="I35:J35"/>
    <mergeCell ref="B96:G96"/>
    <mergeCell ref="M4:N4"/>
    <mergeCell ref="K35:L35"/>
    <mergeCell ref="B35:D35"/>
    <mergeCell ref="O35:P35"/>
    <mergeCell ref="E35:F35"/>
    <mergeCell ref="Q35:S35"/>
    <mergeCell ref="M35:N35"/>
    <mergeCell ref="K4:L4"/>
    <mergeCell ref="T35:X35"/>
    <mergeCell ref="T4:X4"/>
    <mergeCell ref="C2:E2"/>
    <mergeCell ref="B4:D4"/>
    <mergeCell ref="E4:F4"/>
    <mergeCell ref="G4:H4"/>
    <mergeCell ref="I4:J4"/>
    <mergeCell ref="Q4:S4"/>
    <mergeCell ref="O4:P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tabSelected="1" zoomScale="76" zoomScaleNormal="76" zoomScalePageLayoutView="0" workbookViewId="0" topLeftCell="B1">
      <pane xSplit="1" topLeftCell="R1" activePane="topRight" state="frozen"/>
      <selection pane="topLeft" activeCell="B1" sqref="B1"/>
      <selection pane="topRight" activeCell="W13" sqref="W13"/>
    </sheetView>
  </sheetViews>
  <sheetFormatPr defaultColWidth="9.140625" defaultRowHeight="15"/>
  <cols>
    <col min="1" max="1" width="12.140625" style="0" hidden="1" customWidth="1"/>
    <col min="2" max="2" width="22.140625" style="0" customWidth="1"/>
    <col min="3" max="4" width="14.7109375" style="0" customWidth="1"/>
    <col min="5" max="5" width="15.7109375" style="0" customWidth="1"/>
    <col min="6" max="6" width="17.00390625" style="0" customWidth="1"/>
    <col min="7" max="7" width="18.00390625" style="0" customWidth="1"/>
    <col min="8" max="8" width="17.421875" style="0" customWidth="1"/>
    <col min="9" max="10" width="14.00390625" style="0" customWidth="1"/>
    <col min="11" max="12" width="16.00390625" style="0" customWidth="1"/>
    <col min="13" max="13" width="21.421875" style="956" customWidth="1"/>
    <col min="14" max="14" width="13.8515625" style="0" customWidth="1"/>
    <col min="15" max="16" width="16.140625" style="11" customWidth="1"/>
    <col min="17" max="18" width="16.8515625" style="0" customWidth="1"/>
    <col min="19" max="19" width="19.7109375" style="0" customWidth="1"/>
    <col min="20" max="20" width="19.28125" style="0" customWidth="1"/>
    <col min="21" max="21" width="16.28125" style="0" customWidth="1"/>
    <col min="22" max="22" width="18.57421875" style="0" customWidth="1"/>
    <col min="23" max="26" width="15.00390625" style="0" customWidth="1"/>
    <col min="27" max="27" width="13.421875" style="0" customWidth="1"/>
    <col min="28" max="28" width="15.140625" style="0" customWidth="1"/>
    <col min="29" max="29" width="13.28125" style="0" customWidth="1"/>
    <col min="30" max="30" width="12.140625" style="0" customWidth="1"/>
    <col min="31" max="31" width="14.7109375" style="0" customWidth="1"/>
  </cols>
  <sheetData>
    <row r="1" spans="1:22" ht="15">
      <c r="A1" s="1737"/>
      <c r="B1" s="1738"/>
      <c r="S1" t="s">
        <v>444</v>
      </c>
      <c r="T1" t="s">
        <v>446</v>
      </c>
      <c r="U1" t="s">
        <v>470</v>
      </c>
      <c r="V1" t="s">
        <v>475</v>
      </c>
    </row>
    <row r="2" spans="1:22" ht="15">
      <c r="A2" s="1292"/>
      <c r="B2" s="1294"/>
      <c r="S2" t="s">
        <v>445</v>
      </c>
      <c r="T2" t="s">
        <v>447</v>
      </c>
      <c r="U2" t="s">
        <v>476</v>
      </c>
      <c r="V2" t="s">
        <v>477</v>
      </c>
    </row>
    <row r="3" spans="1:2" ht="1.5" customHeight="1">
      <c r="A3" s="320"/>
      <c r="B3" s="1293"/>
    </row>
    <row r="4" spans="1:31" ht="88.5" customHeight="1">
      <c r="A4" s="320"/>
      <c r="B4" s="320" t="s">
        <v>1</v>
      </c>
      <c r="C4" s="842" t="s">
        <v>248</v>
      </c>
      <c r="D4" s="836" t="s">
        <v>247</v>
      </c>
      <c r="E4" s="321" t="s">
        <v>246</v>
      </c>
      <c r="F4" s="319" t="s">
        <v>242</v>
      </c>
      <c r="G4" s="838" t="s">
        <v>243</v>
      </c>
      <c r="H4" s="838" t="s">
        <v>244</v>
      </c>
      <c r="I4" s="838" t="s">
        <v>245</v>
      </c>
      <c r="J4" s="1018" t="s">
        <v>287</v>
      </c>
      <c r="K4" s="1026" t="s">
        <v>397</v>
      </c>
      <c r="L4" s="1026" t="s">
        <v>382</v>
      </c>
      <c r="M4" s="957" t="s">
        <v>281</v>
      </c>
      <c r="N4" s="1023" t="s">
        <v>279</v>
      </c>
      <c r="O4" s="954" t="s">
        <v>288</v>
      </c>
      <c r="P4" s="954" t="s">
        <v>398</v>
      </c>
      <c r="Q4" s="954" t="s">
        <v>383</v>
      </c>
      <c r="R4" s="954" t="s">
        <v>399</v>
      </c>
      <c r="S4" s="319" t="s">
        <v>384</v>
      </c>
      <c r="T4" s="838" t="s">
        <v>385</v>
      </c>
      <c r="U4" s="838" t="s">
        <v>386</v>
      </c>
      <c r="V4" s="838" t="s">
        <v>387</v>
      </c>
      <c r="W4" s="1155" t="s">
        <v>388</v>
      </c>
      <c r="X4" s="954" t="s">
        <v>410</v>
      </c>
      <c r="Y4" s="954" t="s">
        <v>471</v>
      </c>
      <c r="Z4" s="954" t="s">
        <v>478</v>
      </c>
      <c r="AA4" s="1155" t="s">
        <v>389</v>
      </c>
      <c r="AB4" s="954" t="s">
        <v>411</v>
      </c>
      <c r="AC4" s="954" t="s">
        <v>428</v>
      </c>
      <c r="AD4" s="1504"/>
      <c r="AE4" s="1504"/>
    </row>
    <row r="5" spans="1:29" ht="37.5" customHeight="1">
      <c r="A5" s="322"/>
      <c r="B5" s="322"/>
      <c r="C5" s="839"/>
      <c r="E5" s="41"/>
      <c r="F5" s="664"/>
      <c r="G5" s="41"/>
      <c r="H5" s="41"/>
      <c r="I5" s="41"/>
      <c r="J5" s="41"/>
      <c r="K5" s="41"/>
      <c r="L5" s="41"/>
      <c r="M5" s="958"/>
      <c r="N5" s="815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696"/>
      <c r="AC5" s="320"/>
    </row>
    <row r="6" spans="1:31" ht="49.5" customHeight="1">
      <c r="A6" s="323" t="s">
        <v>90</v>
      </c>
      <c r="B6" s="323" t="s">
        <v>47</v>
      </c>
      <c r="C6" s="840"/>
      <c r="D6" s="953">
        <v>1040000</v>
      </c>
      <c r="E6" s="880">
        <v>54339.8399999998</v>
      </c>
      <c r="F6" s="881">
        <f>'Оплата БАНК 1,2,3,4 кв-лы 2022'!B4+'Оплата БАНК 1,2,3,4 кв-лы 2022'!C4+'Оплата БАНК 1,2,3,4 кв-лы 2022'!D4</f>
        <v>40635.04</v>
      </c>
      <c r="G6" s="952">
        <f>'Оплата БАНК 1,2,3,4 кв-лы 2022'!C35+'Оплата БАНК 1,2,3,4 кв-лы 2022'!B35+'Оплата БАНК 1,2,3,4 кв-лы 2022'!D35+'Оплата БАНК 1,2,3,4 кв-лы 2022'!E35</f>
        <v>52693.24</v>
      </c>
      <c r="H6" s="952">
        <f>'Оплата БАНК 1,2,3,4 кв-лы 2022'!C73+'Оплата БАНК 1,2,3,4 кв-лы 2022'!D73+'Оплата БАНК 1,2,3,4 кв-лы 2022'!E73+'Оплата БАНК 1,2,3,4 кв-лы 2022'!B73</f>
        <v>53833.93</v>
      </c>
      <c r="I6" s="952">
        <f>'Оплата БАНК 1,2,3,4 кв-лы 2022'!C108+'Оплата БАНК 1,2,3,4 кв-лы 2022'!B108+'Оплата БАНК 1,2,3,4 кв-лы 2022'!D108+'Оплата БАНК 1,2,3,4 кв-лы 2022'!E108+'Оплата БАНК 1,2,3,4 кв-лы 2022'!G108</f>
        <v>93263.25</v>
      </c>
      <c r="J6" s="1016">
        <f>25980.62+51836.59</f>
        <v>77817.20999999999</v>
      </c>
      <c r="K6" s="1186">
        <f>E6+F6+D6+J6+G6-L6+H6+I6</f>
        <v>72582.50999999983</v>
      </c>
      <c r="L6" s="1028">
        <v>1340000</v>
      </c>
      <c r="M6" s="961">
        <f>K6+L6</f>
        <v>1412582.5099999998</v>
      </c>
      <c r="N6" s="815"/>
      <c r="O6" s="1024"/>
      <c r="P6" s="1193">
        <f aca="true" t="shared" si="0" ref="P6:P32">K6</f>
        <v>72582.50999999983</v>
      </c>
      <c r="Q6" s="1028">
        <v>1340000</v>
      </c>
      <c r="R6" s="1348">
        <f>P6+Q6</f>
        <v>1412582.5099999998</v>
      </c>
      <c r="S6" s="1224">
        <f>'Оплата БАНК 1,2,3,4 кв-лы 2023'!C4+'Оплата БАНК 1,2,3,4 кв-лы 2023'!D4+'Оплата БАНК 1,2,3,4 кв-лы 2023'!C37+'Оплата БАНК 1,2,3,4 кв-лы 2023'!B37</f>
        <v>56194.439999999995</v>
      </c>
      <c r="T6" s="952">
        <f>'Оплата БАНК 1,2,3,4 кв-лы 2023'!D37+'Оплата БАНК 1,2,3,4 кв-лы 2023'!E37+'Оплата БАНК 1,2,3,4 кв-лы 2023'!C77+'Оплата БАНК 1,2,3,4 кв-лы 2023'!B77</f>
        <v>56243.94</v>
      </c>
      <c r="U6" s="952">
        <f>'Оплата БАНК 1,2,3,4 кв-лы 2023'!D77+'Оплата БАНК 1,2,3,4 кв-лы 2023'!E77+'Оплата БАНК 1,2,3,4 кв-лы 2023'!C112+'Оплата БАНК 1,2,3,4 кв-лы 2023'!B112</f>
        <v>76423.98999999999</v>
      </c>
      <c r="V6" s="1429">
        <f>'Оплата БАНК 1,2,3,4 кв-лы 2023'!D112+'Оплата БАНК 1,2,3,4 кв-лы 2023'!E112+'Оплата БАНК 1,2,3,4 кв-лы 2023'!G112</f>
        <v>66063.95000000001</v>
      </c>
      <c r="W6" s="1351">
        <f>32314.19+37978.77</f>
        <v>70292.95999999999</v>
      </c>
      <c r="X6" s="41"/>
      <c r="Y6" s="1447">
        <v>1500000</v>
      </c>
      <c r="Z6" s="1338">
        <v>1671730</v>
      </c>
      <c r="AA6" s="1472">
        <f>P6+S6+Q6+W6-Y6+T6+U6+V6+Y6-Z6</f>
        <v>66071.78999999957</v>
      </c>
      <c r="AB6" s="696"/>
      <c r="AC6" s="881">
        <f>Z6+AA6</f>
        <v>1737801.7899999996</v>
      </c>
      <c r="AE6" s="39"/>
    </row>
    <row r="7" spans="1:29" ht="36" customHeight="1">
      <c r="A7" s="323" t="s">
        <v>90</v>
      </c>
      <c r="B7" s="323" t="s">
        <v>53</v>
      </c>
      <c r="C7" s="840"/>
      <c r="D7" s="953">
        <v>1170000</v>
      </c>
      <c r="E7" s="882">
        <v>86061.14000000036</v>
      </c>
      <c r="F7" s="881">
        <f>'Оплата БАНК 1,2,3,4 кв-лы 2022'!B5+'Оплата БАНК 1,2,3,4 кв-лы 2022'!C5+'Оплата БАНК 1,2,3,4 кв-лы 2022'!D5</f>
        <v>58384.14</v>
      </c>
      <c r="G7" s="952">
        <f>'Оплата БАНК 1,2,3,4 кв-лы 2022'!C36+'Оплата БАНК 1,2,3,4 кв-лы 2022'!B36+'Оплата БАНК 1,2,3,4 кв-лы 2022'!D36+'Оплата БАНК 1,2,3,4 кв-лы 2022'!E36</f>
        <v>118112.09</v>
      </c>
      <c r="H7" s="952">
        <f>'Оплата БАНК 1,2,3,4 кв-лы 2022'!C74+'Оплата БАНК 1,2,3,4 кв-лы 2022'!D74+'Оплата БАНК 1,2,3,4 кв-лы 2022'!E74+'Оплата БАНК 1,2,3,4 кв-лы 2022'!B74</f>
        <v>89143.16</v>
      </c>
      <c r="I7" s="952">
        <f>'Оплата БАНК 1,2,3,4 кв-лы 2022'!C109+'Оплата БАНК 1,2,3,4 кв-лы 2022'!B109+'Оплата БАНК 1,2,3,4 кв-лы 2022'!D109+'Оплата БАНК 1,2,3,4 кв-лы 2022'!E109+'Оплата БАНК 1,2,3,4 кв-лы 2022'!G109</f>
        <v>128558.93000000001</v>
      </c>
      <c r="J7" s="1016">
        <f>29228.2+60183.16</f>
        <v>89411.36</v>
      </c>
      <c r="K7" s="1186">
        <f>E7+F7+J7+D7+G7-L7+H7+I7</f>
        <v>109670.82000000046</v>
      </c>
      <c r="L7" s="1028">
        <v>1630000</v>
      </c>
      <c r="M7" s="961">
        <f>K7+L7</f>
        <v>1739670.8200000005</v>
      </c>
      <c r="N7" s="815"/>
      <c r="O7" s="1024"/>
      <c r="P7" s="1193">
        <f t="shared" si="0"/>
        <v>109670.82000000046</v>
      </c>
      <c r="Q7" s="1028">
        <v>1630000</v>
      </c>
      <c r="R7" s="1028">
        <f aca="true" t="shared" si="1" ref="R7:R32">P7+Q7</f>
        <v>1739670.8200000005</v>
      </c>
      <c r="S7" s="1224">
        <f>'Оплата БАНК 1,2,3,4 кв-лы 2023'!C5+'Оплата БАНК 1,2,3,4 кв-лы 2023'!D5+'Оплата БАНК 1,2,3,4 кв-лы 2023'!C38+'Оплата БАНК 1,2,3,4 кв-лы 2023'!B38</f>
        <v>86675.12</v>
      </c>
      <c r="T7" s="952">
        <f>'Оплата БАНК 1,2,3,4 кв-лы 2023'!D38+'Оплата БАНК 1,2,3,4 кв-лы 2023'!E38+'Оплата БАНК 1,2,3,4 кв-лы 2023'!C78+'Оплата БАНК 1,2,3,4 кв-лы 2023'!B78</f>
        <v>100810.83999999998</v>
      </c>
      <c r="U7" s="952">
        <f>'Оплата БАНК 1,2,3,4 кв-лы 2023'!D78+'Оплата БАНК 1,2,3,4 кв-лы 2023'!E78+'Оплата БАНК 1,2,3,4 кв-лы 2023'!C113+'Оплата БАНК 1,2,3,4 кв-лы 2023'!B113</f>
        <v>99989.45</v>
      </c>
      <c r="V7" s="1429">
        <f>'Оплата БАНК 1,2,3,4 кв-лы 2023'!D113+'Оплата БАНК 1,2,3,4 кв-лы 2023'!E113+'Оплата БАНК 1,2,3,4 кв-лы 2023'!G113</f>
        <v>72224.63</v>
      </c>
      <c r="W7" s="1351">
        <f>39307.56+47093.67</f>
        <v>86401.23</v>
      </c>
      <c r="X7" s="41"/>
      <c r="Y7" s="1399">
        <v>1860000</v>
      </c>
      <c r="Z7" s="1261">
        <v>2113500</v>
      </c>
      <c r="AA7" s="1269">
        <f>P7+S7+Q7+W7-Y7+T7+U7+V7+Y7-Z7</f>
        <v>72272.09000000032</v>
      </c>
      <c r="AB7" s="696"/>
      <c r="AC7" s="881">
        <f>Z7+AA7</f>
        <v>2185772.0900000003</v>
      </c>
    </row>
    <row r="8" spans="1:29" ht="26.25" customHeight="1">
      <c r="A8" s="324" t="s">
        <v>89</v>
      </c>
      <c r="B8" s="324" t="s">
        <v>8</v>
      </c>
      <c r="C8" s="840"/>
      <c r="D8" s="955"/>
      <c r="E8" s="882">
        <v>1615485.81</v>
      </c>
      <c r="F8" s="881">
        <f>'Оплата БАНК 1,2,3,4 кв-лы 2022'!B6+'Оплата БАНК 1,2,3,4 кв-лы 2022'!C6+'Оплата БАНК 1,2,3,4 кв-лы 2022'!D6</f>
        <v>0</v>
      </c>
      <c r="G8" s="952">
        <f>'Оплата БАНК 1,2,3,4 кв-лы 2022'!C37+'Оплата БАНК 1,2,3,4 кв-лы 2022'!B37+'Оплата БАНК 1,2,3,4 кв-лы 2022'!D37+'Оплата БАНК 1,2,3,4 кв-лы 2022'!E37</f>
        <v>0</v>
      </c>
      <c r="H8" s="952">
        <f>'Оплата БАНК 1,2,3,4 кв-лы 2022'!C75+'Оплата БАНК 1,2,3,4 кв-лы 2022'!D75+'Оплата БАНК 1,2,3,4 кв-лы 2022'!E75+'Оплата БАНК 1,2,3,4 кв-лы 2022'!B75</f>
        <v>0</v>
      </c>
      <c r="I8" s="952">
        <f>'Оплата БАНК 1,2,3,4 кв-лы 2022'!C110+'Оплата БАНК 1,2,3,4 кв-лы 2022'!B110+'Оплата БАНК 1,2,3,4 кв-лы 2022'!D110+'Оплата БАНК 1,2,3,4 кв-лы 2022'!E110+'Оплата БАНК 1,2,3,4 кв-лы 2022'!G110</f>
        <v>0</v>
      </c>
      <c r="J8" s="952"/>
      <c r="K8" s="952">
        <f>E8+F8</f>
        <v>1615485.81</v>
      </c>
      <c r="L8" s="952"/>
      <c r="M8" s="959">
        <f aca="true" t="shared" si="2" ref="M8:M14">D8+K8</f>
        <v>1615485.81</v>
      </c>
      <c r="N8" s="815"/>
      <c r="O8" s="1024"/>
      <c r="P8" s="1189">
        <f t="shared" si="0"/>
        <v>1615485.81</v>
      </c>
      <c r="Q8" s="952"/>
      <c r="R8" s="1028">
        <f t="shared" si="1"/>
        <v>1615485.81</v>
      </c>
      <c r="S8" s="1224">
        <f>'Оплата БАНК 1,2,3,4 кв-лы 2023'!C6+'Оплата БАНК 1,2,3,4 кв-лы 2023'!D6+'Оплата БАНК 1,2,3,4 кв-лы 2023'!C39+'Оплата БАНК 1,2,3,4 кв-лы 2023'!B39</f>
        <v>0</v>
      </c>
      <c r="T8" s="952">
        <f>'Оплата БАНК 1,2,3,4 кв-лы 2023'!D39+'Оплата БАНК 1,2,3,4 кв-лы 2023'!E39+'Оплата БАНК 1,2,3,4 кв-лы 2023'!C79+'Оплата БАНК 1,2,3,4 кв-лы 2023'!B79</f>
        <v>0</v>
      </c>
      <c r="U8" s="952">
        <f>'Оплата БАНК 1,2,3,4 кв-лы 2023'!D79+'Оплата БАНК 1,2,3,4 кв-лы 2023'!E79+'Оплата БАНК 1,2,3,4 кв-лы 2023'!C114+'Оплата БАНК 1,2,3,4 кв-лы 2023'!B114</f>
        <v>0</v>
      </c>
      <c r="V8" s="1429">
        <f>'Оплата БАНК 1,2,3,4 кв-лы 2023'!D114+'Оплата БАНК 1,2,3,4 кв-лы 2023'!E114+'Оплата БАНК 1,2,3,4 кв-лы 2023'!G114</f>
        <v>0</v>
      </c>
      <c r="W8" s="1351"/>
      <c r="X8" s="41"/>
      <c r="Y8" s="41"/>
      <c r="Z8" s="41"/>
      <c r="AA8" s="1156">
        <f>P8+S8</f>
        <v>1615485.81</v>
      </c>
      <c r="AB8" s="696"/>
      <c r="AC8" s="320"/>
    </row>
    <row r="9" spans="1:29" ht="34.5" customHeight="1">
      <c r="A9" s="323" t="s">
        <v>90</v>
      </c>
      <c r="B9" s="323" t="s">
        <v>48</v>
      </c>
      <c r="C9" s="840"/>
      <c r="D9" s="953">
        <v>2400000</v>
      </c>
      <c r="E9" s="882">
        <v>242507.16999999993</v>
      </c>
      <c r="F9" s="881">
        <f>'Оплата БАНК 1,2,3,4 кв-лы 2022'!B7+'Оплата БАНК 1,2,3,4 кв-лы 2022'!C7+'Оплата БАНК 1,2,3,4 кв-лы 2022'!D7</f>
        <v>130031.01</v>
      </c>
      <c r="G9" s="952">
        <f>'Оплата БАНК 1,2,3,4 кв-лы 2022'!C38+'Оплата БАНК 1,2,3,4 кв-лы 2022'!B38+'Оплата БАНК 1,2,3,4 кв-лы 2022'!D38+'Оплата БАНК 1,2,3,4 кв-лы 2022'!E38</f>
        <v>219975.07</v>
      </c>
      <c r="H9" s="952">
        <f>'Оплата БАНК 1,2,3,4 кв-лы 2022'!C76+'Оплата БАНК 1,2,3,4 кв-лы 2022'!D76+'Оплата БАНК 1,2,3,4 кв-лы 2022'!E76+'Оплата БАНК 1,2,3,4 кв-лы 2022'!B76</f>
        <v>207710.59</v>
      </c>
      <c r="I9" s="952">
        <f>'Оплата БАНК 1,2,3,4 кв-лы 2022'!C111+'Оплата БАНК 1,2,3,4 кв-лы 2022'!B111+'Оплата БАНК 1,2,3,4 кв-лы 2022'!D111+'Оплата БАНК 1,2,3,4 кв-лы 2022'!E111+'Оплата БАНК 1,2,3,4 кв-лы 2022'!G111</f>
        <v>327410.24999999994</v>
      </c>
      <c r="J9" s="1016">
        <f>59955.29+127395.01</f>
        <v>187350.3</v>
      </c>
      <c r="K9" s="1186">
        <f>E9+F9+J9+D9+G9-L9+H9+I9-O9</f>
        <v>182260.38999999966</v>
      </c>
      <c r="L9" s="1116">
        <v>1500000</v>
      </c>
      <c r="M9" s="961">
        <f>K9+L9</f>
        <v>1682260.3899999997</v>
      </c>
      <c r="N9" s="815"/>
      <c r="O9" s="1156">
        <v>2032724</v>
      </c>
      <c r="P9" s="1193">
        <f t="shared" si="0"/>
        <v>182260.38999999966</v>
      </c>
      <c r="Q9" s="1271">
        <v>1500000</v>
      </c>
      <c r="R9" s="1028">
        <f t="shared" si="1"/>
        <v>1682260.3899999997</v>
      </c>
      <c r="S9" s="1224">
        <f>'Оплата БАНК 1,2,3,4 кв-лы 2023'!C7+'Оплата БАНК 1,2,3,4 кв-лы 2023'!D7+'Оплата БАНК 1,2,3,4 кв-лы 2023'!C40+'Оплата БАНК 1,2,3,4 кв-лы 2023'!B40</f>
        <v>220432.12</v>
      </c>
      <c r="T9" s="952">
        <f>'Оплата БАНК 1,2,3,4 кв-лы 2023'!D40+'Оплата БАНК 1,2,3,4 кв-лы 2023'!E40+'Оплата БАНК 1,2,3,4 кв-лы 2023'!C80+'Оплата БАНК 1,2,3,4 кв-лы 2023'!B80</f>
        <v>247162.88999999998</v>
      </c>
      <c r="U9" s="952">
        <f>'Оплата БАНК 1,2,3,4 кв-лы 2023'!D80+'Оплата БАНК 1,2,3,4 кв-лы 2023'!E80+'Оплата БАНК 1,2,3,4 кв-лы 2023'!C115+'Оплата БАНК 1,2,3,4 кв-лы 2023'!B115</f>
        <v>264544.58999999997</v>
      </c>
      <c r="V9" s="1429">
        <f>'Оплата БАНК 1,2,3,4 кв-лы 2023'!D115+'Оплата БАНК 1,2,3,4 кв-лы 2023'!E115+'Оплата БАНК 1,2,3,4 кв-лы 2023'!G115</f>
        <v>189270.62</v>
      </c>
      <c r="W9" s="696">
        <v>91345.59</v>
      </c>
      <c r="X9" s="696"/>
      <c r="Y9" s="1399">
        <f>1690000</f>
        <v>1690000</v>
      </c>
      <c r="Z9" s="1261"/>
      <c r="AA9" s="1269">
        <f>P9+S9-2090000+T9+Q9+X9+U9+V9+400000+Y9+W9</f>
        <v>2695016.1999999993</v>
      </c>
      <c r="AB9" s="696"/>
      <c r="AC9" s="881"/>
    </row>
    <row r="10" spans="1:29" ht="27.75" customHeight="1">
      <c r="A10" s="325" t="s">
        <v>89</v>
      </c>
      <c r="B10" s="325" t="s">
        <v>9</v>
      </c>
      <c r="C10" s="840"/>
      <c r="D10" s="955"/>
      <c r="E10" s="882">
        <v>1625609.82</v>
      </c>
      <c r="F10" s="881">
        <f>'Оплата БАНК 1,2,3,4 кв-лы 2022'!B8+'Оплата БАНК 1,2,3,4 кв-лы 2022'!C8+'Оплата БАНК 1,2,3,4 кв-лы 2022'!D8</f>
        <v>36037.09</v>
      </c>
      <c r="G10" s="952">
        <f>'Оплата БАНК 1,2,3,4 кв-лы 2022'!C39+'Оплата БАНК 1,2,3,4 кв-лы 2022'!B39+'Оплата БАНК 1,2,3,4 кв-лы 2022'!D39+'Оплата БАНК 1,2,3,4 кв-лы 2022'!E39</f>
        <v>57882.21</v>
      </c>
      <c r="H10" s="952">
        <f>'Оплата БАНК 1,2,3,4 кв-лы 2022'!C77+'Оплата БАНК 1,2,3,4 кв-лы 2022'!D77+'Оплата БАНК 1,2,3,4 кв-лы 2022'!E77+'Оплата БАНК 1,2,3,4 кв-лы 2022'!B77</f>
        <v>52811.759999999995</v>
      </c>
      <c r="I10" s="952">
        <f>'Оплата БАНК 1,2,3,4 кв-лы 2022'!C112+'Оплата БАНК 1,2,3,4 кв-лы 2022'!B112+'Оплата БАНК 1,2,3,4 кв-лы 2022'!D112+'Оплата БАНК 1,2,3,4 кв-лы 2022'!E112+'Оплата БАНК 1,2,3,4 кв-лы 2022'!G112</f>
        <v>77652.57</v>
      </c>
      <c r="J10" s="952"/>
      <c r="K10" s="952">
        <f>E10+F10+H10+I10+G10</f>
        <v>1849993.4500000002</v>
      </c>
      <c r="L10" s="952"/>
      <c r="M10" s="959">
        <f t="shared" si="2"/>
        <v>1849993.4500000002</v>
      </c>
      <c r="N10" s="815"/>
      <c r="O10" s="1024"/>
      <c r="P10" s="1189">
        <f t="shared" si="0"/>
        <v>1849993.4500000002</v>
      </c>
      <c r="Q10" s="952"/>
      <c r="R10" s="1028">
        <f t="shared" si="1"/>
        <v>1849993.4500000002</v>
      </c>
      <c r="S10" s="1224">
        <f>'Оплата БАНК 1,2,3,4 кв-лы 2023'!C8+'Оплата БАНК 1,2,3,4 кв-лы 2023'!D8+'Оплата БАНК 1,2,3,4 кв-лы 2023'!C41+'Оплата БАНК 1,2,3,4 кв-лы 2023'!B41</f>
        <v>51617.21</v>
      </c>
      <c r="T10" s="952">
        <f>'Оплата БАНК 1,2,3,4 кв-лы 2023'!D41+'Оплата БАНК 1,2,3,4 кв-лы 2023'!E41+'Оплата БАНК 1,2,3,4 кв-лы 2023'!C81+'Оплата БАНК 1,2,3,4 кв-лы 2023'!B81</f>
        <v>64140.20999999999</v>
      </c>
      <c r="U10" s="952">
        <f>'Оплата БАНК 1,2,3,4 кв-лы 2023'!D81+'Оплата БАНК 1,2,3,4 кв-лы 2023'!E81+'Оплата БАНК 1,2,3,4 кв-лы 2023'!C116+'Оплата БАНК 1,2,3,4 кв-лы 2023'!B116</f>
        <v>78700.43</v>
      </c>
      <c r="V10" s="1429">
        <f>'Оплата БАНК 1,2,3,4 кв-лы 2023'!D116+'Оплата БАНК 1,2,3,4 кв-лы 2023'!E116+'Оплата БАНК 1,2,3,4 кв-лы 2023'!G116</f>
        <v>71726.61</v>
      </c>
      <c r="W10" s="1351"/>
      <c r="X10" s="41"/>
      <c r="Y10" s="41"/>
      <c r="Z10" s="41"/>
      <c r="AA10" s="1156">
        <f>P10+S10+T10+U10</f>
        <v>2044451.3</v>
      </c>
      <c r="AB10" s="696"/>
      <c r="AC10" s="320"/>
    </row>
    <row r="11" spans="1:29" ht="33.75" customHeight="1">
      <c r="A11" s="323" t="s">
        <v>90</v>
      </c>
      <c r="B11" s="323" t="s">
        <v>10</v>
      </c>
      <c r="C11" s="840"/>
      <c r="D11" s="953">
        <v>160000</v>
      </c>
      <c r="E11" s="882">
        <v>26892.709999999963</v>
      </c>
      <c r="F11" s="881">
        <f>'Оплата БАНК 1,2,3,4 кв-лы 2022'!B9+'Оплата БАНК 1,2,3,4 кв-лы 2022'!C9+'Оплата БАНК 1,2,3,4 кв-лы 2022'!D9</f>
        <v>15459.19</v>
      </c>
      <c r="G11" s="952">
        <f>'Оплата БАНК 1,2,3,4 кв-лы 2022'!C40+'Оплата БАНК 1,2,3,4 кв-лы 2022'!B40+'Оплата БАНК 1,2,3,4 кв-лы 2022'!D40+'Оплата БАНК 1,2,3,4 кв-лы 2022'!E40</f>
        <v>24204.969999999998</v>
      </c>
      <c r="H11" s="952">
        <f>'Оплата БАНК 1,2,3,4 кв-лы 2022'!C78+'Оплата БАНК 1,2,3,4 кв-лы 2022'!D78+'Оплата БАНК 1,2,3,4 кв-лы 2022'!E78+'Оплата БАНК 1,2,3,4 кв-лы 2022'!B78</f>
        <v>27580.05</v>
      </c>
      <c r="I11" s="952">
        <f>'Оплата БАНК 1,2,3,4 кв-лы 2022'!C113+'Оплата БАНК 1,2,3,4 кв-лы 2022'!B113+'Оплата БАНК 1,2,3,4 кв-лы 2022'!D113+'Оплата БАНК 1,2,3,4 кв-лы 2022'!E113+'Оплата БАНК 1,2,3,4 кв-лы 2022'!G113</f>
        <v>30829.41</v>
      </c>
      <c r="J11" s="1016">
        <f>3997.02+8785.86</f>
        <v>12782.880000000001</v>
      </c>
      <c r="K11" s="1187">
        <f>E11+F11+D11+J11+G11-L11+H11+I11</f>
        <v>27749.20999999997</v>
      </c>
      <c r="L11" s="1027">
        <v>270000</v>
      </c>
      <c r="M11" s="961">
        <f>K11+L11</f>
        <v>297749.20999999996</v>
      </c>
      <c r="N11" s="815"/>
      <c r="O11" s="1024"/>
      <c r="P11" s="1193">
        <f t="shared" si="0"/>
        <v>27749.20999999997</v>
      </c>
      <c r="Q11" s="1027">
        <v>270000</v>
      </c>
      <c r="R11" s="1028">
        <f t="shared" si="1"/>
        <v>297749.20999999996</v>
      </c>
      <c r="S11" s="1224">
        <f>'Оплата БАНК 1,2,3,4 кв-лы 2023'!C9+'Оплата БАНК 1,2,3,4 кв-лы 2023'!D9+'Оплата БАНК 1,2,3,4 кв-лы 2023'!C42+'Оплата БАНК 1,2,3,4 кв-лы 2023'!B42</f>
        <v>23277.79</v>
      </c>
      <c r="T11" s="952">
        <f>'Оплата БАНК 1,2,3,4 кв-лы 2023'!D42+'Оплата БАНК 1,2,3,4 кв-лы 2023'!E42+'Оплата БАНК 1,2,3,4 кв-лы 2023'!C82+'Оплата БАНК 1,2,3,4 кв-лы 2023'!B82</f>
        <v>28441.929999999997</v>
      </c>
      <c r="U11" s="952">
        <f>'Оплата БАНК 1,2,3,4 кв-лы 2023'!D82+'Оплата БАНК 1,2,3,4 кв-лы 2023'!E82+'Оплата БАНК 1,2,3,4 кв-лы 2023'!C117+'Оплата БАНК 1,2,3,4 кв-лы 2023'!B117</f>
        <v>24761.840000000004</v>
      </c>
      <c r="V11" s="1429">
        <f>'Оплата БАНК 1,2,3,4 кв-лы 2023'!D117+'Оплата БАНК 1,2,3,4 кв-лы 2023'!E117+'Оплата БАНК 1,2,3,4 кв-лы 2023'!G117</f>
        <v>17831.08</v>
      </c>
      <c r="W11" s="1351">
        <f>6511.07+8102.14</f>
        <v>14613.21</v>
      </c>
      <c r="X11" s="1262"/>
      <c r="Y11" s="1399">
        <v>320000</v>
      </c>
      <c r="Z11" s="1261">
        <v>388800</v>
      </c>
      <c r="AA11" s="1269">
        <f>P11+S11+Q11+W11-Y11+T11+U11+V11+Y11-Z11</f>
        <v>17875.059999999998</v>
      </c>
      <c r="AB11" s="696"/>
      <c r="AC11" s="881">
        <f>Z11+AA11</f>
        <v>406675.06</v>
      </c>
    </row>
    <row r="12" spans="1:29" ht="33.75" customHeight="1">
      <c r="A12" s="323" t="s">
        <v>90</v>
      </c>
      <c r="B12" s="323" t="s">
        <v>11</v>
      </c>
      <c r="C12" s="840"/>
      <c r="D12" s="953">
        <v>380000</v>
      </c>
      <c r="E12" s="880">
        <v>25009.380000000005</v>
      </c>
      <c r="F12" s="881">
        <f>'Оплата БАНК 1,2,3,4 кв-лы 2022'!B10+'Оплата БАНК 1,2,3,4 кв-лы 2022'!C10+'Оплата БАНК 1,2,3,4 кв-лы 2022'!D10</f>
        <v>14524.69</v>
      </c>
      <c r="G12" s="952">
        <f>'Оплата БАНК 1,2,3,4 кв-лы 2022'!C41+'Оплата БАНК 1,2,3,4 кв-лы 2022'!B41+'Оплата БАНК 1,2,3,4 кв-лы 2022'!D41+'Оплата БАНК 1,2,3,4 кв-лы 2022'!E41</f>
        <v>22035.78</v>
      </c>
      <c r="H12" s="952">
        <f>'Оплата БАНК 1,2,3,4 кв-лы 2022'!C79+'Оплата БАНК 1,2,3,4 кв-лы 2022'!D79+'Оплата БАНК 1,2,3,4 кв-лы 2022'!E79+'Оплата БАНК 1,2,3,4 кв-лы 2022'!B79</f>
        <v>24888</v>
      </c>
      <c r="I12" s="952">
        <f>'Оплата БАНК 1,2,3,4 кв-лы 2022'!C114+'Оплата БАНК 1,2,3,4 кв-лы 2022'!B114+'Оплата БАНК 1,2,3,4 кв-лы 2022'!D114+'Оплата БАНК 1,2,3,4 кв-лы 2022'!E114+'Оплата БАНК 1,2,3,4 кв-лы 2022'!G114</f>
        <v>31754.49</v>
      </c>
      <c r="J12" s="1016">
        <f>9492.92+25.98+18889.61+22.03</f>
        <v>28430.54</v>
      </c>
      <c r="K12" s="1186">
        <f>E12+F12+D12+J12+G12-L12+H12+I12</f>
        <v>26642.880000000016</v>
      </c>
      <c r="L12" s="1028">
        <v>500000</v>
      </c>
      <c r="M12" s="961">
        <f>K12+L12</f>
        <v>526642.88</v>
      </c>
      <c r="N12" s="815"/>
      <c r="O12" s="1024"/>
      <c r="P12" s="1193">
        <f t="shared" si="0"/>
        <v>26642.880000000016</v>
      </c>
      <c r="Q12" s="1028">
        <v>500000</v>
      </c>
      <c r="R12" s="1028">
        <f t="shared" si="1"/>
        <v>526642.88</v>
      </c>
      <c r="S12" s="1224">
        <f>'Оплата БАНК 1,2,3,4 кв-лы 2023'!C10+'Оплата БАНК 1,2,3,4 кв-лы 2023'!D10+'Оплата БАНК 1,2,3,4 кв-лы 2023'!C43+'Оплата БАНК 1,2,3,4 кв-лы 2023'!B43</f>
        <v>24856.46</v>
      </c>
      <c r="T12" s="952">
        <f>'Оплата БАНК 1,2,3,4 кв-лы 2023'!D43+'Оплата БАНК 1,2,3,4 кв-лы 2023'!E43+'Оплата БАНК 1,2,3,4 кв-лы 2023'!C83+'Оплата БАНК 1,2,3,4 кв-лы 2023'!B83</f>
        <v>25087.65</v>
      </c>
      <c r="U12" s="952">
        <f>'Оплата БАНК 1,2,3,4 кв-лы 2023'!D83+'Оплата БАНК 1,2,3,4 кв-лы 2023'!E83+'Оплата БАНК 1,2,3,4 кв-лы 2023'!C118+'Оплата БАНК 1,2,3,4 кв-лы 2023'!B118</f>
        <v>29128.63</v>
      </c>
      <c r="V12" s="1429">
        <f>'Оплата БАНК 1,2,3,4 кв-лы 2023'!D118+'Оплата БАНК 1,2,3,4 кв-лы 2023'!E118+'Оплата БАНК 1,2,3,4 кв-лы 2023'!G118</f>
        <v>15653.39</v>
      </c>
      <c r="W12" s="1351">
        <f>12057.53+23.45+14178.74+27.37</f>
        <v>26287.09</v>
      </c>
      <c r="X12" s="1262"/>
      <c r="Y12" s="1399">
        <v>560000</v>
      </c>
      <c r="Z12" s="1261">
        <v>631900</v>
      </c>
      <c r="AA12" s="1269">
        <f>P12+S12+Q12+W12-X12-Y12+T12+U12+V12+Y12-Z12</f>
        <v>15756.099999999977</v>
      </c>
      <c r="AB12" s="696"/>
      <c r="AC12" s="881">
        <f>Z12+AA12</f>
        <v>647656.1</v>
      </c>
    </row>
    <row r="13" spans="1:29" ht="31.5" customHeight="1">
      <c r="A13" s="323" t="s">
        <v>92</v>
      </c>
      <c r="B13" s="323" t="s">
        <v>12</v>
      </c>
      <c r="C13" s="840"/>
      <c r="D13" s="953">
        <v>600000</v>
      </c>
      <c r="E13" s="882">
        <v>144825.52000000002</v>
      </c>
      <c r="F13" s="881">
        <f>'Оплата БАНК 1,2,3,4 кв-лы 2022'!B11+'Оплата БАНК 1,2,3,4 кв-лы 2022'!C11+'Оплата БАНК 1,2,3,4 кв-лы 2022'!D11</f>
        <v>90059.33000000002</v>
      </c>
      <c r="G13" s="952">
        <f>'Оплата БАНК 1,2,3,4 кв-лы 2022'!C42+'Оплата БАНК 1,2,3,4 кв-лы 2022'!B42+'Оплата БАНК 1,2,3,4 кв-лы 2022'!D42+'Оплата БАНК 1,2,3,4 кв-лы 2022'!E42</f>
        <v>137516</v>
      </c>
      <c r="H13" s="952">
        <f>'Оплата БАНК 1,2,3,4 кв-лы 2022'!C80+'Оплата БАНК 1,2,3,4 кв-лы 2022'!D80+'Оплата БАНК 1,2,3,4 кв-лы 2022'!E80+'Оплата БАНК 1,2,3,4 кв-лы 2022'!B80</f>
        <v>133608.42</v>
      </c>
      <c r="I13" s="952">
        <f>'Оплата БАНК 1,2,3,4 кв-лы 2022'!C115+'Оплата БАНК 1,2,3,4 кв-лы 2022'!B115+'Оплата БАНК 1,2,3,4 кв-лы 2022'!D115+'Оплата БАНК 1,2,3,4 кв-лы 2022'!E115+'Оплата БАНК 1,2,3,4 кв-лы 2022'!G115</f>
        <v>200866.24000000002</v>
      </c>
      <c r="J13" s="1016">
        <f>14988.82+39097.09</f>
        <v>54085.909999999996</v>
      </c>
      <c r="K13" s="1186">
        <f>E13+F13+D13+J13+G13-L13+H13+I13</f>
        <v>150961.42000000016</v>
      </c>
      <c r="L13" s="1028">
        <v>1210000</v>
      </c>
      <c r="M13" s="961">
        <f>K13+L13</f>
        <v>1360961.4200000002</v>
      </c>
      <c r="N13" s="815"/>
      <c r="O13" s="1024"/>
      <c r="P13" s="1193">
        <f t="shared" si="0"/>
        <v>150961.42000000016</v>
      </c>
      <c r="Q13" s="1028">
        <v>1210000</v>
      </c>
      <c r="R13" s="1028">
        <f t="shared" si="1"/>
        <v>1360961.4200000002</v>
      </c>
      <c r="S13" s="1224">
        <f>'Оплата БАНК 1,2,3,4 кв-лы 2023'!C11+'Оплата БАНК 1,2,3,4 кв-лы 2023'!D11+'Оплата БАНК 1,2,3,4 кв-лы 2023'!C44+'Оплата БАНК 1,2,3,4 кв-лы 2023'!B44</f>
        <v>142156.36000000002</v>
      </c>
      <c r="T13" s="952">
        <f>'Оплата БАНК 1,2,3,4 кв-лы 2023'!D44+'Оплата БАНК 1,2,3,4 кв-лы 2023'!E44+'Оплата БАНК 1,2,3,4 кв-лы 2023'!C84+'Оплата БАНК 1,2,3,4 кв-лы 2023'!B84</f>
        <v>155214.9</v>
      </c>
      <c r="U13" s="952">
        <f>'Оплата БАНК 1,2,3,4 кв-лы 2023'!D84+'Оплата БАНК 1,2,3,4 кв-лы 2023'!E84+'Оплата БАНК 1,2,3,4 кв-лы 2023'!C119+'Оплата БАНК 1,2,3,4 кв-лы 2023'!B119</f>
        <v>160527.81999999998</v>
      </c>
      <c r="V13" s="1429">
        <f>'Оплата БАНК 1,2,3,4 кв-лы 2023'!D119+'Оплата БАНК 1,2,3,4 кв-лы 2023'!E119+'Оплата БАНК 1,2,3,4 кв-лы 2023'!G119</f>
        <v>109873.04999999999</v>
      </c>
      <c r="W13" s="1351">
        <f>29179.23+38738.34</f>
        <v>67917.56999999999</v>
      </c>
      <c r="X13" s="41"/>
      <c r="Y13" s="1399">
        <v>1530000</v>
      </c>
      <c r="Z13" s="1261">
        <v>1886770</v>
      </c>
      <c r="AA13" s="1269">
        <f>P13+S13+Q13+W13-Y13+T13+U13+V13+Y13-Z13</f>
        <v>109881.12000000034</v>
      </c>
      <c r="AB13" s="696"/>
      <c r="AC13" s="881">
        <f>Z13+AA13</f>
        <v>1996651.1200000003</v>
      </c>
    </row>
    <row r="14" spans="1:29" ht="30" customHeight="1">
      <c r="A14" s="325" t="s">
        <v>89</v>
      </c>
      <c r="B14" s="645" t="s">
        <v>13</v>
      </c>
      <c r="C14" s="840"/>
      <c r="D14" s="953"/>
      <c r="E14" s="882">
        <v>107446.62000000005</v>
      </c>
      <c r="F14" s="881">
        <f>'Оплата БАНК 1,2,3,4 кв-лы 2022'!B12+'Оплата БАНК 1,2,3,4 кв-лы 2022'!C12+'Оплата БАНК 1,2,3,4 кв-лы 2022'!D12</f>
        <v>49670.51</v>
      </c>
      <c r="G14" s="952">
        <f>'Оплата БАНК 1,2,3,4 кв-лы 2022'!C43+'Оплата БАНК 1,2,3,4 кв-лы 2022'!B43+'Оплата БАНК 1,2,3,4 кв-лы 2022'!D43+'Оплата БАНК 1,2,3,4 кв-лы 2022'!E43</f>
        <v>78616.88</v>
      </c>
      <c r="H14" s="952">
        <f>'Оплата БАНК 1,2,3,4 кв-лы 2022'!C81+'Оплата БАНК 1,2,3,4 кв-лы 2022'!D81+'Оплата БАНК 1,2,3,4 кв-лы 2022'!E81+'Оплата БАНК 1,2,3,4 кв-лы 2022'!B81</f>
        <v>75628.64</v>
      </c>
      <c r="I14" s="952">
        <f>'Оплата БАНК 1,2,3,4 кв-лы 2022'!C116+'Оплата БАНК 1,2,3,4 кв-лы 2022'!B116+'Оплата БАНК 1,2,3,4 кв-лы 2022'!D116+'Оплата БАНК 1,2,3,4 кв-лы 2022'!E116+'Оплата БАНК 1,2,3,4 кв-лы 2022'!G116</f>
        <v>112827.69999999998</v>
      </c>
      <c r="J14" s="952"/>
      <c r="K14" s="1186">
        <f>E14+F14+G14+H14+I14-O14</f>
        <v>14190.350000000093</v>
      </c>
      <c r="L14" s="1028"/>
      <c r="M14" s="961">
        <f t="shared" si="2"/>
        <v>14190.350000000093</v>
      </c>
      <c r="N14" s="815"/>
      <c r="O14" s="1024">
        <f>410000</f>
        <v>410000</v>
      </c>
      <c r="P14" s="1193">
        <f t="shared" si="0"/>
        <v>14190.350000000093</v>
      </c>
      <c r="Q14" s="1028"/>
      <c r="R14" s="1028">
        <f t="shared" si="1"/>
        <v>14190.350000000093</v>
      </c>
      <c r="S14" s="1224">
        <f>'Оплата БАНК 1,2,3,4 кв-лы 2023'!C12+'Оплата БАНК 1,2,3,4 кв-лы 2023'!D12+'Оплата БАНК 1,2,3,4 кв-лы 2023'!C45+'Оплата БАНК 1,2,3,4 кв-лы 2023'!B45</f>
        <v>86935.54999999999</v>
      </c>
      <c r="T14" s="952">
        <f>'Оплата БАНК 1,2,3,4 кв-лы 2023'!D45+'Оплата БАНК 1,2,3,4 кв-лы 2023'!E45+'Оплата БАНК 1,2,3,4 кв-лы 2023'!C85+'Оплата БАНК 1,2,3,4 кв-лы 2023'!B85</f>
        <v>93246.18000000001</v>
      </c>
      <c r="U14" s="952">
        <f>'Оплата БАНК 1,2,3,4 кв-лы 2023'!D85+'Оплата БАНК 1,2,3,4 кв-лы 2023'!E85+'Оплата БАНК 1,2,3,4 кв-лы 2023'!C120+'Оплата БАНК 1,2,3,4 кв-лы 2023'!B120</f>
        <v>91744.55</v>
      </c>
      <c r="V14" s="1429">
        <f>'Оплата БАНК 1,2,3,4 кв-лы 2023'!D120+'Оплата БАНК 1,2,3,4 кв-лы 2023'!E120+'Оплата БАНК 1,2,3,4 кв-лы 2023'!G120</f>
        <v>64209.20999999999</v>
      </c>
      <c r="W14" s="1351"/>
      <c r="X14" s="41"/>
      <c r="Y14" s="41"/>
      <c r="Z14" s="41"/>
      <c r="AA14" s="1269">
        <f>P14+S14+T14+U14+V14</f>
        <v>350325.8400000001</v>
      </c>
      <c r="AB14" s="696"/>
      <c r="AC14" s="881"/>
    </row>
    <row r="15" spans="1:29" ht="31.5" customHeight="1">
      <c r="A15" s="325" t="s">
        <v>89</v>
      </c>
      <c r="B15" s="645" t="s">
        <v>14</v>
      </c>
      <c r="C15" s="840"/>
      <c r="D15" s="953">
        <v>2080000</v>
      </c>
      <c r="E15" s="882">
        <v>114692.29000000004</v>
      </c>
      <c r="F15" s="881">
        <f>'Оплата БАНК 1,2,3,4 кв-лы 2022'!B13+'Оплата БАНК 1,2,3,4 кв-лы 2022'!C13+'Оплата БАНК 1,2,3,4 кв-лы 2022'!D13</f>
        <v>70393.78</v>
      </c>
      <c r="G15" s="952">
        <f>'Оплата БАНК 1,2,3,4 кв-лы 2022'!C44+'Оплата БАНК 1,2,3,4 кв-лы 2022'!B44+'Оплата БАНК 1,2,3,4 кв-лы 2022'!D44+'Оплата БАНК 1,2,3,4 кв-лы 2022'!E44</f>
        <v>106297.68</v>
      </c>
      <c r="H15" s="952">
        <f>'Оплата БАНК 1,2,3,4 кв-лы 2022'!C82+'Оплата БАНК 1,2,3,4 кв-лы 2022'!D82+'Оплата БАНК 1,2,3,4 кв-лы 2022'!E82+'Оплата БАНК 1,2,3,4 кв-лы 2022'!B82</f>
        <v>102651.57999999999</v>
      </c>
      <c r="I15" s="952">
        <f>'Оплата БАНК 1,2,3,4 кв-лы 2022'!C117+'Оплата БАНК 1,2,3,4 кв-лы 2022'!B117+'Оплата БАНК 1,2,3,4 кв-лы 2022'!D117+'Оплата БАНК 1,2,3,4 кв-лы 2022'!E117+'Оплата БАНК 1,2,3,4 кв-лы 2022'!G117</f>
        <v>143279.73</v>
      </c>
      <c r="J15" s="1016">
        <f>51961.25+20416.44</f>
        <v>72377.69</v>
      </c>
      <c r="K15" s="1186">
        <f>E15+F15+J15+D15+G15-L15-O15+H15+I15</f>
        <v>108893.75000000041</v>
      </c>
      <c r="L15" s="1028">
        <v>730000</v>
      </c>
      <c r="M15" s="961">
        <f>K15+L15</f>
        <v>838893.7500000005</v>
      </c>
      <c r="N15" s="815"/>
      <c r="O15" s="1024">
        <v>1850799</v>
      </c>
      <c r="P15" s="1193">
        <f t="shared" si="0"/>
        <v>108893.75000000041</v>
      </c>
      <c r="Q15" s="1028">
        <v>730000</v>
      </c>
      <c r="R15" s="1028">
        <f t="shared" si="1"/>
        <v>838893.7500000005</v>
      </c>
      <c r="S15" s="1224">
        <f>'Оплата БАНК 1,2,3,4 кв-лы 2023'!C13+'Оплата БАНК 1,2,3,4 кв-лы 2023'!D13+'Оплата БАНК 1,2,3,4 кв-лы 2023'!C46+'Оплата БАНК 1,2,3,4 кв-лы 2023'!B46</f>
        <v>109819.03000000001</v>
      </c>
      <c r="T15" s="952">
        <f>'Оплата БАНК 1,2,3,4 кв-лы 2023'!D46+'Оплата БАНК 1,2,3,4 кв-лы 2023'!E46+'Оплата БАНК 1,2,3,4 кв-лы 2023'!C86+'Оплата БАНК 1,2,3,4 кв-лы 2023'!B86</f>
        <v>119893.1</v>
      </c>
      <c r="U15" s="952">
        <f>'Оплата БАНК 1,2,3,4 кв-лы 2023'!D86+'Оплата БАНК 1,2,3,4 кв-лы 2023'!E86+'Оплата БАНК 1,2,3,4 кв-лы 2023'!C121+'Оплата БАНК 1,2,3,4 кв-лы 2023'!B121</f>
        <v>122065.87000000001</v>
      </c>
      <c r="V15" s="1429">
        <f>'Оплата БАНК 1,2,3,4 кв-лы 2023'!D121+'Оплата БАНК 1,2,3,4 кв-лы 2023'!E121+'Оплата БАНК 1,2,3,4 кв-лы 2023'!G121</f>
        <v>87350.62</v>
      </c>
      <c r="W15" s="696">
        <f>17604+24306.41</f>
        <v>41910.41</v>
      </c>
      <c r="X15" s="41"/>
      <c r="Y15" s="1399">
        <v>960000</v>
      </c>
      <c r="Z15" s="1261">
        <v>1232580</v>
      </c>
      <c r="AA15" s="1269">
        <f>P15+S15+Q15+W15-Y15+T15+U15+V15+Y15-Z15</f>
        <v>87352.7800000005</v>
      </c>
      <c r="AB15" s="696"/>
      <c r="AC15" s="881">
        <f>Z15+AA15</f>
        <v>1319932.7800000005</v>
      </c>
    </row>
    <row r="16" spans="1:29" ht="38.25" customHeight="1">
      <c r="A16" s="323" t="s">
        <v>90</v>
      </c>
      <c r="B16" s="323" t="s">
        <v>55</v>
      </c>
      <c r="C16" s="840"/>
      <c r="D16" s="953">
        <v>980000</v>
      </c>
      <c r="E16" s="882">
        <v>50374.20000000007</v>
      </c>
      <c r="F16" s="881">
        <f>'Оплата БАНК 1,2,3,4 кв-лы 2022'!B14+'Оплата БАНК 1,2,3,4 кв-лы 2022'!C14+'Оплата БАНК 1,2,3,4 кв-лы 2022'!D14</f>
        <v>27789.97</v>
      </c>
      <c r="G16" s="952">
        <f>'Оплата БАНК 1,2,3,4 кв-лы 2022'!C45+'Оплата БАНК 1,2,3,4 кв-лы 2022'!B45+'Оплата БАНК 1,2,3,4 кв-лы 2022'!D45+'Оплата БАНК 1,2,3,4 кв-лы 2022'!E45</f>
        <v>43540.380000000005</v>
      </c>
      <c r="H16" s="952">
        <f>'Оплата БАНК 1,2,3,4 кв-лы 2022'!C83+'Оплата БАНК 1,2,3,4 кв-лы 2022'!D83+'Оплата БАНК 1,2,3,4 кв-лы 2022'!E83+'Оплата БАНК 1,2,3,4 кв-лы 2022'!B83</f>
        <v>42204.909999999996</v>
      </c>
      <c r="I16" s="952">
        <f>'Оплата БАНК 1,2,3,4 кв-лы 2022'!C118+'Оплата БАНК 1,2,3,4 кв-лы 2022'!B118+'Оплата БАНК 1,2,3,4 кв-лы 2022'!D118+'Оплата БАНК 1,2,3,4 кв-лы 2022'!E118+'Оплата БАНК 1,2,3,4 кв-лы 2022'!G118</f>
        <v>70067.34999999999</v>
      </c>
      <c r="J16" s="1016">
        <f>24481.74+44507.84</f>
        <v>68989.58</v>
      </c>
      <c r="K16" s="1186">
        <f>E16+F16+D16+J16+G16-L16+H16+I16-O16</f>
        <v>32966.390000000305</v>
      </c>
      <c r="L16" s="1028">
        <v>900000</v>
      </c>
      <c r="M16" s="961">
        <f>K16+L16</f>
        <v>932966.3900000004</v>
      </c>
      <c r="N16" s="815"/>
      <c r="O16" s="1024">
        <v>350000</v>
      </c>
      <c r="P16" s="1193">
        <f t="shared" si="0"/>
        <v>32966.390000000305</v>
      </c>
      <c r="Q16" s="1028">
        <v>900000</v>
      </c>
      <c r="R16" s="1028">
        <f t="shared" si="1"/>
        <v>932966.3900000004</v>
      </c>
      <c r="S16" s="1224">
        <f>'Оплата БАНК 1,2,3,4 кв-лы 2023'!C14+'Оплата БАНК 1,2,3,4 кв-лы 2023'!D14+'Оплата БАНК 1,2,3,4 кв-лы 2023'!C47+'Оплата БАНК 1,2,3,4 кв-лы 2023'!B47</f>
        <v>56591.63</v>
      </c>
      <c r="T16" s="952">
        <f>'Оплата БАНК 1,2,3,4 кв-лы 2023'!D47+'Оплата БАНК 1,2,3,4 кв-лы 2023'!E47+'Оплата БАНК 1,2,3,4 кв-лы 2023'!C87+'Оплата БАНК 1,2,3,4 кв-лы 2023'!B87</f>
        <v>48000</v>
      </c>
      <c r="U16" s="952">
        <f>'Оплата БАНК 1,2,3,4 кв-лы 2023'!D87+'Оплата БАНК 1,2,3,4 кв-лы 2023'!E87+'Оплата БАНК 1,2,3,4 кв-лы 2023'!C122+'Оплата БАНК 1,2,3,4 кв-лы 2023'!B122</f>
        <v>55847.16999999999</v>
      </c>
      <c r="V16" s="1429">
        <f>'Оплата БАНК 1,2,3,4 кв-лы 2023'!D122+'Оплата БАНК 1,2,3,4 кв-лы 2023'!E122+'Оплата БАНК 1,2,3,4 кв-лы 2023'!G122</f>
        <v>36356.3</v>
      </c>
      <c r="W16" s="696">
        <f>22191.78+27230.33</f>
        <v>49422.11</v>
      </c>
      <c r="X16" s="41"/>
      <c r="Y16" s="1399">
        <v>1040000</v>
      </c>
      <c r="Z16" s="1261"/>
      <c r="AA16" s="1269">
        <f>P16+S16+T16+Q16+W16-Y16+U16+V16+Y16</f>
        <v>1179183.6000000003</v>
      </c>
      <c r="AB16" s="696"/>
      <c r="AC16" s="881"/>
    </row>
    <row r="17" spans="1:29" ht="33.75" customHeight="1">
      <c r="A17" s="325" t="s">
        <v>89</v>
      </c>
      <c r="B17" s="645" t="s">
        <v>15</v>
      </c>
      <c r="C17" s="840"/>
      <c r="D17" s="1029">
        <v>2600000</v>
      </c>
      <c r="E17" s="882">
        <v>2607409.9</v>
      </c>
      <c r="F17" s="881">
        <f>'Оплата БАНК 1,2,3,4 кв-лы 2022'!B15+'Оплата БАНК 1,2,3,4 кв-лы 2022'!C15+'Оплата БАНК 1,2,3,4 кв-лы 2022'!D15</f>
        <v>65637.06999999999</v>
      </c>
      <c r="G17" s="952">
        <f>'Оплата БАНК 1,2,3,4 кв-лы 2022'!C46+'Оплата БАНК 1,2,3,4 кв-лы 2022'!B46+'Оплата БАНК 1,2,3,4 кв-лы 2022'!D46+'Оплата БАНК 1,2,3,4 кв-лы 2022'!E46</f>
        <v>98058.26</v>
      </c>
      <c r="H17" s="952">
        <f>'Оплата БАНК 1,2,3,4 кв-лы 2022'!C84+'Оплата БАНК 1,2,3,4 кв-лы 2022'!D84+'Оплата БАНК 1,2,3,4 кв-лы 2022'!E84+'Оплата БАНК 1,2,3,4 кв-лы 2022'!B84</f>
        <v>105570.51</v>
      </c>
      <c r="I17" s="952">
        <f>'Оплата БАНК 1,2,3,4 кв-лы 2022'!C119+'Оплата БАНК 1,2,3,4 кв-лы 2022'!B119+'Оплата БАНК 1,2,3,4 кв-лы 2022'!D119+'Оплата БАНК 1,2,3,4 кв-лы 2022'!E119+'Оплата БАНК 1,2,3,4 кв-лы 2022'!G119</f>
        <v>149472.31999999998</v>
      </c>
      <c r="J17" s="1016">
        <v>90522.74</v>
      </c>
      <c r="K17" s="1186">
        <f>E17+F17-D17+G17+H17+D17+J17-L17+I17</f>
        <v>216670.79999999996</v>
      </c>
      <c r="L17" s="1019">
        <v>2900000</v>
      </c>
      <c r="M17" s="1073">
        <f>K17+L17</f>
        <v>3116670.8</v>
      </c>
      <c r="N17" s="815"/>
      <c r="O17" s="1024"/>
      <c r="P17" s="1193">
        <f t="shared" si="0"/>
        <v>216670.79999999996</v>
      </c>
      <c r="Q17" s="1019">
        <v>2900000</v>
      </c>
      <c r="R17" s="1028">
        <f t="shared" si="1"/>
        <v>3116670.8</v>
      </c>
      <c r="S17" s="1224">
        <f>'Оплата БАНК 1,2,3,4 кв-лы 2023'!C15+'Оплата БАНК 1,2,3,4 кв-лы 2023'!D15+'Оплата БАНК 1,2,3,4 кв-лы 2023'!C48+'Оплата БАНК 1,2,3,4 кв-лы 2023'!B48</f>
        <v>113588.71999999999</v>
      </c>
      <c r="T17" s="952">
        <f>'Оплата БАНК 1,2,3,4 кв-лы 2023'!D48+'Оплата БАНК 1,2,3,4 кв-лы 2023'!E48+'Оплата БАНК 1,2,3,4 кв-лы 2023'!C88+'Оплата БАНК 1,2,3,4 кв-лы 2023'!B88</f>
        <v>114012.13999999998</v>
      </c>
      <c r="U17" s="952">
        <f>'Оплата БАНК 1,2,3,4 кв-лы 2023'!D88+'Оплата БАНК 1,2,3,4 кв-лы 2023'!E88+'Оплата БАНК 1,2,3,4 кв-лы 2023'!C123+'Оплата БАНК 1,2,3,4 кв-лы 2023'!B123</f>
        <v>115139.57999999999</v>
      </c>
      <c r="V17" s="1429">
        <f>'Оплата БАНК 1,2,3,4 кв-лы 2023'!D123+'Оплата БАНК 1,2,3,4 кв-лы 2023'!E123+'Оплата БАНК 1,2,3,4 кв-лы 2023'!G123</f>
        <v>131509.85</v>
      </c>
      <c r="W17" s="696">
        <f>73342.19+10856.71</f>
        <v>84198.9</v>
      </c>
      <c r="X17" s="1399">
        <v>420000</v>
      </c>
      <c r="Y17" s="1261"/>
      <c r="Z17" s="1261">
        <v>690000</v>
      </c>
      <c r="AA17" s="1269">
        <f>P17+S17+Q17+W17-AB17-X17+T17+U17+X17-Z17+V17</f>
        <v>215119.9899999999</v>
      </c>
      <c r="AB17" s="1264">
        <v>2770000</v>
      </c>
      <c r="AC17" s="881">
        <f>Z17+AA17</f>
        <v>905119.9899999999</v>
      </c>
    </row>
    <row r="18" spans="1:29" ht="35.25" customHeight="1">
      <c r="A18" s="323" t="s">
        <v>90</v>
      </c>
      <c r="B18" s="323" t="s">
        <v>16</v>
      </c>
      <c r="C18" s="840"/>
      <c r="D18" s="953">
        <v>1200000</v>
      </c>
      <c r="E18" s="882">
        <v>90215.02000000002</v>
      </c>
      <c r="F18" s="881">
        <f>'Оплата БАНК 1,2,3,4 кв-лы 2022'!B16+'Оплата БАНК 1,2,3,4 кв-лы 2022'!C16+'Оплата БАНК 1,2,3,4 кв-лы 2022'!D16</f>
        <v>60101.64</v>
      </c>
      <c r="G18" s="952">
        <f>'Оплата БАНК 1,2,3,4 кв-лы 2022'!C47+'Оплата БАНК 1,2,3,4 кв-лы 2022'!B47+'Оплата БАНК 1,2,3,4 кв-лы 2022'!D47+'Оплата БАНК 1,2,3,4 кв-лы 2022'!E47</f>
        <v>85138.89</v>
      </c>
      <c r="H18" s="952">
        <f>'Оплата БАНК 1,2,3,4 кв-лы 2022'!C85+'Оплата БАНК 1,2,3,4 кв-лы 2022'!D85+'Оплата БАНК 1,2,3,4 кв-лы 2022'!E85+'Оплата БАНК 1,2,3,4 кв-лы 2022'!B85</f>
        <v>86227.03</v>
      </c>
      <c r="I18" s="952">
        <f>'Оплата БАНК 1,2,3,4 кв-лы 2022'!C120+'Оплата БАНК 1,2,3,4 кв-лы 2022'!B120+'Оплата БАНК 1,2,3,4 кв-лы 2022'!D120+'Оплата БАНК 1,2,3,4 кв-лы 2022'!E120+'Оплата БАНК 1,2,3,4 кв-лы 2022'!G120</f>
        <v>119088.72</v>
      </c>
      <c r="J18" s="1016">
        <f>29977.64+61501.04</f>
        <v>91478.68</v>
      </c>
      <c r="K18" s="1186">
        <f>E18+F18+J18+D18+G18-L18+H18+I18</f>
        <v>92249.97999999998</v>
      </c>
      <c r="L18" s="1028">
        <v>1640000</v>
      </c>
      <c r="M18" s="961">
        <f>K18+L18</f>
        <v>1732249.98</v>
      </c>
      <c r="N18" s="815"/>
      <c r="O18" s="1024"/>
      <c r="P18" s="1193">
        <f t="shared" si="0"/>
        <v>92249.97999999998</v>
      </c>
      <c r="Q18" s="1028">
        <v>1640000</v>
      </c>
      <c r="R18" s="1028">
        <f t="shared" si="1"/>
        <v>1732249.98</v>
      </c>
      <c r="S18" s="1224">
        <f>'Оплата БАНК 1,2,3,4 кв-лы 2023'!C16+'Оплата БАНК 1,2,3,4 кв-лы 2023'!D16+'Оплата БАНК 1,2,3,4 кв-лы 2023'!C49+'Оплата БАНК 1,2,3,4 кв-лы 2023'!B49</f>
        <v>88682.86</v>
      </c>
      <c r="T18" s="952">
        <f>'Оплата БАНК 1,2,3,4 кв-лы 2023'!D49+'Оплата БАНК 1,2,3,4 кв-лы 2023'!E49+'Оплата БАНК 1,2,3,4 кв-лы 2023'!C89+'Оплата БАНК 1,2,3,4 кв-лы 2023'!B89</f>
        <v>93489.37000000001</v>
      </c>
      <c r="U18" s="952">
        <f>'Оплата БАНК 1,2,3,4 кв-лы 2023'!D89+'Оплата БАНК 1,2,3,4 кв-лы 2023'!E89+'Оплата БАНК 1,2,3,4 кв-лы 2023'!C124+'Оплата БАНК 1,2,3,4 кв-лы 2023'!B124</f>
        <v>95807.56999999999</v>
      </c>
      <c r="V18" s="1429">
        <f>'Оплата БАНК 1,2,3,4 кв-лы 2023'!D124+'Оплата БАНК 1,2,3,4 кв-лы 2023'!E124+'Оплата БАНК 1,2,3,4 кв-лы 2023'!G124</f>
        <v>67044.73</v>
      </c>
      <c r="W18" s="1351">
        <v>39548.71</v>
      </c>
      <c r="X18" s="41"/>
      <c r="Y18" s="41"/>
      <c r="Z18" s="41"/>
      <c r="AA18" s="1269">
        <f>P18+S18+W18+Q18-AB18+T18+U18+V18</f>
        <v>277813.22000000003</v>
      </c>
      <c r="AB18" s="1264">
        <f>350000+1489010</f>
        <v>1839010</v>
      </c>
      <c r="AC18" s="881"/>
    </row>
    <row r="19" spans="1:31" ht="32.25" customHeight="1">
      <c r="A19" s="325" t="s">
        <v>89</v>
      </c>
      <c r="B19" s="323" t="s">
        <v>17</v>
      </c>
      <c r="C19" s="840"/>
      <c r="D19" s="955">
        <v>3360000</v>
      </c>
      <c r="E19" s="882">
        <v>3273490.55</v>
      </c>
      <c r="F19" s="881">
        <f>'Оплата БАНК 1,2,3,4 кв-лы 2022'!B17+'Оплата БАНК 1,2,3,4 кв-лы 2022'!C17+'Оплата БАНК 1,2,3,4 кв-лы 2022'!D17</f>
        <v>75555.45999999999</v>
      </c>
      <c r="G19" s="952">
        <f>'Оплата БАНК 1,2,3,4 кв-лы 2022'!C48+'Оплата БАНК 1,2,3,4 кв-лы 2022'!B48+'Оплата БАНК 1,2,3,4 кв-лы 2022'!D48+'Оплата БАНК 1,2,3,4 кв-лы 2022'!E48</f>
        <v>121603.15999999999</v>
      </c>
      <c r="H19" s="952">
        <f>'Оплата БАНК 1,2,3,4 кв-лы 2022'!C86+'Оплата БАНК 1,2,3,4 кв-лы 2022'!D86+'Оплата БАНК 1,2,3,4 кв-лы 2022'!E86+'Оплата БАНК 1,2,3,4 кв-лы 2022'!B86</f>
        <v>107364.84</v>
      </c>
      <c r="I19" s="952">
        <f>'Оплата БАНК 1,2,3,4 кв-лы 2022'!C121+'Оплата БАНК 1,2,3,4 кв-лы 2022'!B121+'Оплата БАНК 1,2,3,4 кв-лы 2022'!D121+'Оплата БАНК 1,2,3,4 кв-лы 2022'!E121+'Оплата БАНК 1,2,3,4 кв-лы 2022'!G121</f>
        <v>152530.61</v>
      </c>
      <c r="J19" s="1016">
        <f>55677.75+200495.34</f>
        <v>256173.09</v>
      </c>
      <c r="K19" s="1186">
        <f>E19+F19+J19-D19+G19+H19+D19-O19-L19+I19</f>
        <v>169861.7099999996</v>
      </c>
      <c r="L19" s="1027">
        <v>2900000</v>
      </c>
      <c r="M19" s="961">
        <f>K19+L19</f>
        <v>3069861.7099999995</v>
      </c>
      <c r="N19" s="815"/>
      <c r="O19" s="1024">
        <f>140000+776856</f>
        <v>916856</v>
      </c>
      <c r="P19" s="1193">
        <f t="shared" si="0"/>
        <v>169861.7099999996</v>
      </c>
      <c r="Q19" s="1027">
        <v>2900000</v>
      </c>
      <c r="R19" s="1028">
        <f t="shared" si="1"/>
        <v>3069861.7099999995</v>
      </c>
      <c r="S19" s="1224">
        <f>'Оплата БАНК 1,2,3,4 кв-лы 2023'!C17+'Оплата БАНК 1,2,3,4 кв-лы 2023'!D17+'Оплата БАНК 1,2,3,4 кв-лы 2023'!C50+'Оплата БАНК 1,2,3,4 кв-лы 2023'!B50</f>
        <v>114665.69</v>
      </c>
      <c r="T19" s="952">
        <f>'Оплата БАНК 1,2,3,4 кв-лы 2023'!D50+'Оплата БАНК 1,2,3,4 кв-лы 2023'!E50+'Оплата БАНК 1,2,3,4 кв-лы 2023'!C90+'Оплата БАНК 1,2,3,4 кв-лы 2023'!B90</f>
        <v>131879.66</v>
      </c>
      <c r="U19" s="952">
        <f>'Оплата БАНК 1,2,3,4 кв-лы 2023'!D90+'Оплата БАНК 1,2,3,4 кв-лы 2023'!E90+'Оплата БАНК 1,2,3,4 кв-лы 2023'!C125+'Оплата БАНК 1,2,3,4 кв-лы 2023'!B125</f>
        <v>130352.79999999999</v>
      </c>
      <c r="V19" s="1429">
        <f>'Оплата БАНК 1,2,3,4 кв-лы 2023'!D125+'Оплата БАНК 1,2,3,4 кв-лы 2023'!E125+'Оплата БАНК 1,2,3,4 кв-лы 2023'!G125</f>
        <v>90493.72000000002</v>
      </c>
      <c r="W19" s="696">
        <f>69459.37+81502.68</f>
        <v>150962.05</v>
      </c>
      <c r="X19" s="1399">
        <v>3200000</v>
      </c>
      <c r="Y19" s="696"/>
      <c r="Z19" s="696"/>
      <c r="AA19" s="1269">
        <f>P19+S19+W19+Q19-X19+T19+U19+X19+V19</f>
        <v>3688215.63</v>
      </c>
      <c r="AB19" s="696"/>
      <c r="AC19" s="881">
        <f>AA19</f>
        <v>3688215.63</v>
      </c>
      <c r="AE19" s="53"/>
    </row>
    <row r="20" spans="1:31" ht="31.5" customHeight="1">
      <c r="A20" s="323" t="s">
        <v>90</v>
      </c>
      <c r="B20" s="323" t="s">
        <v>18</v>
      </c>
      <c r="C20" s="840"/>
      <c r="D20" s="955">
        <v>1880000</v>
      </c>
      <c r="E20" s="882">
        <v>1870473.2</v>
      </c>
      <c r="F20" s="881">
        <f>'Оплата БАНК 1,2,3,4 кв-лы 2022'!B18+'Оплата БАНК 1,2,3,4 кв-лы 2022'!C18+'Оплата БАНК 1,2,3,4 кв-лы 2022'!D18</f>
        <v>158996.14</v>
      </c>
      <c r="G20" s="952">
        <f>'Оплата БАНК 1,2,3,4 кв-лы 2022'!C49+'Оплата БАНК 1,2,3,4 кв-лы 2022'!B49+'Оплата БАНК 1,2,3,4 кв-лы 2022'!D49+'Оплата БАНК 1,2,3,4 кв-лы 2022'!E49</f>
        <v>244732.73</v>
      </c>
      <c r="H20" s="952">
        <f>'Оплата БАНК 1,2,3,4 кв-лы 2022'!C87+'Оплата БАНК 1,2,3,4 кв-лы 2022'!D87+'Оплата БАНК 1,2,3,4 кв-лы 2022'!E87+'Оплата БАНК 1,2,3,4 кв-лы 2022'!B87</f>
        <v>237056.78</v>
      </c>
      <c r="I20" s="952">
        <f>'Оплата БАНК 1,2,3,4 кв-лы 2022'!C122+'Оплата БАНК 1,2,3,4 кв-лы 2022'!B122+'Оплата БАНК 1,2,3,4 кв-лы 2022'!D122+'Оплата БАНК 1,2,3,4 кв-лы 2022'!E122+'Оплата БАНК 1,2,3,4 кв-лы 2022'!G122</f>
        <v>327893.76</v>
      </c>
      <c r="J20" s="1016">
        <v>65454.9</v>
      </c>
      <c r="K20" s="1186">
        <f>E20+F20-D20+G20+H20+D20+J20-L20+I20</f>
        <v>504607.50999999954</v>
      </c>
      <c r="L20" s="1019">
        <v>2400000</v>
      </c>
      <c r="M20" s="1073">
        <f aca="true" t="shared" si="3" ref="M20:M31">K20+L20</f>
        <v>2904607.51</v>
      </c>
      <c r="N20" s="815"/>
      <c r="O20" s="1024"/>
      <c r="P20" s="1193">
        <f t="shared" si="0"/>
        <v>504607.50999999954</v>
      </c>
      <c r="Q20" s="1019">
        <v>2400000</v>
      </c>
      <c r="R20" s="1028">
        <f t="shared" si="1"/>
        <v>2904607.51</v>
      </c>
      <c r="S20" s="1224">
        <f>'Оплата БАНК 1,2,3,4 кв-лы 2023'!C18+'Оплата БАНК 1,2,3,4 кв-лы 2023'!D18+'Оплата БАНК 1,2,3,4 кв-лы 2023'!C51+'Оплата БАНК 1,2,3,4 кв-лы 2023'!B51</f>
        <v>257727.72999999998</v>
      </c>
      <c r="T20" s="952">
        <f>'Оплата БАНК 1,2,3,4 кв-лы 2023'!D51+'Оплата БАНК 1,2,3,4 кв-лы 2023'!E51+'Оплата БАНК 1,2,3,4 кв-лы 2023'!C91+'Оплата БАНК 1,2,3,4 кв-лы 2023'!B91</f>
        <v>277550.85</v>
      </c>
      <c r="U20" s="952">
        <f>'Оплата БАНК 1,2,3,4 кв-лы 2023'!D91+'Оплата БАНК 1,2,3,4 кв-лы 2023'!E91+'Оплата БАНК 1,2,3,4 кв-лы 2023'!C126+'Оплата БАНК 1,2,3,4 кв-лы 2023'!B126</f>
        <v>270800.02</v>
      </c>
      <c r="V20" s="1429">
        <f>'Оплата БАНК 1,2,3,4 кв-лы 2023'!D126+'Оплата БАНК 1,2,3,4 кв-лы 2023'!E126+'Оплата БАНК 1,2,3,4 кв-лы 2023'!G126</f>
        <v>186552.53999999998</v>
      </c>
      <c r="W20" s="696">
        <f>60696.99+77401.97+6582.99</f>
        <v>144681.94999999998</v>
      </c>
      <c r="X20" s="1399">
        <v>2960000</v>
      </c>
      <c r="Y20" s="1399">
        <v>260000</v>
      </c>
      <c r="Z20" s="1261">
        <v>3400000</v>
      </c>
      <c r="AA20" s="1269">
        <f>P20+S20+Q20+W20-X20-Y20+T20+U20+X20-Z20+V20+Y20</f>
        <v>641920.5999999996</v>
      </c>
      <c r="AB20" s="696"/>
      <c r="AC20" s="881">
        <f aca="true" t="shared" si="4" ref="AC20:AC25">Z20+AA20</f>
        <v>4041920.5999999996</v>
      </c>
      <c r="AE20" s="53"/>
    </row>
    <row r="21" spans="1:29" ht="27" customHeight="1">
      <c r="A21" s="323" t="s">
        <v>90</v>
      </c>
      <c r="B21" s="323" t="s">
        <v>54</v>
      </c>
      <c r="C21" s="840"/>
      <c r="D21" s="955">
        <v>1240000</v>
      </c>
      <c r="E21" s="882">
        <v>1242317.73</v>
      </c>
      <c r="F21" s="881">
        <f>'Оплата БАНК 1,2,3,4 кв-лы 2022'!B19+'Оплата БАНК 1,2,3,4 кв-лы 2022'!C19+'Оплата БАНК 1,2,3,4 кв-лы 2022'!D19</f>
        <v>64150.259999999995</v>
      </c>
      <c r="G21" s="952">
        <f>'Оплата БАНК 1,2,3,4 кв-лы 2022'!C50+'Оплата БАНК 1,2,3,4 кв-лы 2022'!B50+'Оплата БАНК 1,2,3,4 кв-лы 2022'!D50+'Оплата БАНК 1,2,3,4 кв-лы 2022'!E50</f>
        <v>102335.14</v>
      </c>
      <c r="H21" s="952">
        <f>'Оплата БАНК 1,2,3,4 кв-лы 2022'!C88+'Оплата БАНК 1,2,3,4 кв-лы 2022'!D88+'Оплата БАНК 1,2,3,4 кв-лы 2022'!E88+'Оплата БАНК 1,2,3,4 кв-лы 2022'!B88</f>
        <v>111788.92</v>
      </c>
      <c r="I21" s="952">
        <f>'Оплата БАНК 1,2,3,4 кв-лы 2022'!C123+'Оплата БАНК 1,2,3,4 кв-лы 2022'!B123+'Оплата БАНК 1,2,3,4 кв-лы 2022'!D123+'Оплата БАНК 1,2,3,4 кв-лы 2022'!E123+'Оплата БАНК 1,2,3,4 кв-лы 2022'!G123</f>
        <v>143132.17999999996</v>
      </c>
      <c r="J21" s="1016">
        <v>43172.38</v>
      </c>
      <c r="K21" s="1186">
        <f>E21+F21-D21+G21+H21+J21+D21-L21+I21</f>
        <v>306896.60999999987</v>
      </c>
      <c r="L21" s="1019">
        <v>1400000</v>
      </c>
      <c r="M21" s="1073">
        <f t="shared" si="3"/>
        <v>1706896.6099999999</v>
      </c>
      <c r="N21" s="815"/>
      <c r="O21" s="1024"/>
      <c r="P21" s="1193">
        <f t="shared" si="0"/>
        <v>306896.60999999987</v>
      </c>
      <c r="Q21" s="1019">
        <v>1400000</v>
      </c>
      <c r="R21" s="1028">
        <f t="shared" si="1"/>
        <v>1706896.6099999999</v>
      </c>
      <c r="S21" s="1224">
        <f>'Оплата БАНК 1,2,3,4 кв-лы 2023'!C19+'Оплата БАНК 1,2,3,4 кв-лы 2023'!D19+'Оплата БАНК 1,2,3,4 кв-лы 2023'!C52+'Оплата БАНК 1,2,3,4 кв-лы 2023'!B52</f>
        <v>104017.5</v>
      </c>
      <c r="T21" s="952">
        <f>'Оплата БАНК 1,2,3,4 кв-лы 2023'!D52+'Оплата БАНК 1,2,3,4 кв-лы 2023'!E52+'Оплата БАНК 1,2,3,4 кв-лы 2023'!C92+'Оплата БАНК 1,2,3,4 кв-лы 2023'!B92</f>
        <v>118734.63</v>
      </c>
      <c r="U21" s="952">
        <f>'Оплата БАНК 1,2,3,4 кв-лы 2023'!D92+'Оплата БАНК 1,2,3,4 кв-лы 2023'!E92+'Оплата БАНК 1,2,3,4 кв-лы 2023'!C127+'Оплата БАНК 1,2,3,4 кв-лы 2023'!B127</f>
        <v>115160.15999999999</v>
      </c>
      <c r="V21" s="1429">
        <f>'Оплата БАНК 1,2,3,4 кв-лы 2023'!D127+'Оплата БАНК 1,2,3,4 кв-лы 2023'!E127+'Оплата БАНК 1,2,3,4 кв-лы 2023'!G127</f>
        <v>81137.31999999999</v>
      </c>
      <c r="W21" s="696">
        <f>35406.58+45259.07</f>
        <v>80665.65</v>
      </c>
      <c r="X21" s="1399">
        <v>1740000</v>
      </c>
      <c r="Y21" s="1261"/>
      <c r="Z21" s="1261">
        <v>920000</v>
      </c>
      <c r="AA21" s="1269">
        <f>P21+S21+Q21+W21-X21+T21+U21+X21-AB21-Z21+V21</f>
        <v>170204.86999999982</v>
      </c>
      <c r="AB21" s="1264">
        <f>199802+916605</f>
        <v>1116407</v>
      </c>
      <c r="AC21" s="881">
        <f t="shared" si="4"/>
        <v>1090204.8699999999</v>
      </c>
    </row>
    <row r="22" spans="1:29" ht="35.25" customHeight="1">
      <c r="A22" s="323" t="s">
        <v>90</v>
      </c>
      <c r="B22" s="323" t="s">
        <v>49</v>
      </c>
      <c r="C22" s="840"/>
      <c r="D22" s="955">
        <v>5000000</v>
      </c>
      <c r="E22" s="882">
        <v>5001644.109999999</v>
      </c>
      <c r="F22" s="881">
        <f>'Оплата БАНК 1,2,3,4 кв-лы 2022'!B20+'Оплата БАНК 1,2,3,4 кв-лы 2022'!C20+'Оплата БАНК 1,2,3,4 кв-лы 2022'!D20</f>
        <v>143033.38</v>
      </c>
      <c r="G22" s="952">
        <f>'Оплата БАНК 1,2,3,4 кв-лы 2022'!C51+'Оплата БАНК 1,2,3,4 кв-лы 2022'!B51+'Оплата БАНК 1,2,3,4 кв-лы 2022'!D51+'Оплата БАНК 1,2,3,4 кв-лы 2022'!E51</f>
        <v>219423.32</v>
      </c>
      <c r="H22" s="952">
        <f>'Оплата БАНК 1,2,3,4 кв-лы 2022'!C89+'Оплата БАНК 1,2,3,4 кв-лы 2022'!D89+'Оплата БАНК 1,2,3,4 кв-лы 2022'!E89+'Оплата БАНК 1,2,3,4 кв-лы 2022'!B89</f>
        <v>220635.23</v>
      </c>
      <c r="I22" s="952">
        <f>'Оплата БАНК 1,2,3,4 кв-лы 2022'!C124+'Оплата БАНК 1,2,3,4 кв-лы 2022'!B124+'Оплата БАНК 1,2,3,4 кв-лы 2022'!D124+'Оплата БАНК 1,2,3,4 кв-лы 2022'!E124+'Оплата БАНК 1,2,3,4 кв-лы 2022'!G124</f>
        <v>314418.76</v>
      </c>
      <c r="J22" s="952">
        <v>174082.19</v>
      </c>
      <c r="K22" s="1186">
        <f>E22+F22-D22+G22+H22+D22+J22-L22+I22</f>
        <v>473236.9899999995</v>
      </c>
      <c r="L22" s="1019">
        <v>5600000</v>
      </c>
      <c r="M22" s="1073">
        <f t="shared" si="3"/>
        <v>6073236.989999999</v>
      </c>
      <c r="N22" s="815"/>
      <c r="O22" s="1024"/>
      <c r="P22" s="1193">
        <f t="shared" si="0"/>
        <v>473236.9899999995</v>
      </c>
      <c r="Q22" s="1019">
        <v>5600000</v>
      </c>
      <c r="R22" s="1028">
        <f t="shared" si="1"/>
        <v>6073236.989999999</v>
      </c>
      <c r="S22" s="1224">
        <f>'Оплата БАНК 1,2,3,4 кв-лы 2023'!C20+'Оплата БАНК 1,2,3,4 кв-лы 2023'!D20+'Оплата БАНК 1,2,3,4 кв-лы 2023'!C53+'Оплата БАНК 1,2,3,4 кв-лы 2023'!B53</f>
        <v>232705.91000000003</v>
      </c>
      <c r="T22" s="952">
        <f>'Оплата БАНК 1,2,3,4 кв-лы 2023'!D53+'Оплата БАНК 1,2,3,4 кв-лы 2023'!E53+'Оплата БАНК 1,2,3,4 кв-лы 2023'!C93+'Оплата БАНК 1,2,3,4 кв-лы 2023'!B93</f>
        <v>248379.99000000002</v>
      </c>
      <c r="U22" s="952">
        <f>'Оплата БАНК 1,2,3,4 кв-лы 2023'!D93+'Оплата БАНК 1,2,3,4 кв-лы 2023'!E93+'Оплата БАНК 1,2,3,4 кв-лы 2023'!C128+'Оплата БАНК 1,2,3,4 кв-лы 2023'!B128</f>
        <v>260590.33</v>
      </c>
      <c r="V22" s="1429">
        <f>'Оплата БАНК 1,2,3,4 кв-лы 2023'!D128+'Оплата БАНК 1,2,3,4 кв-лы 2023'!E128+'Оплата БАНК 1,2,3,4 кв-лы 2023'!G128</f>
        <v>189678.25999999998</v>
      </c>
      <c r="W22" s="696">
        <f>141626.3+162125.75+6076.6</f>
        <v>309828.64999999997</v>
      </c>
      <c r="X22" s="1399">
        <v>6200000</v>
      </c>
      <c r="Y22" s="1399">
        <v>240000</v>
      </c>
      <c r="Z22" s="1261">
        <f>6600000+524700</f>
        <v>7124700</v>
      </c>
      <c r="AA22" s="1269">
        <f>P22+S22+Q22+W22-X22-Y22+T22+U22+X22-Z22+V22+Y22</f>
        <v>189720.1300000001</v>
      </c>
      <c r="AB22" s="696"/>
      <c r="AC22" s="881">
        <f t="shared" si="4"/>
        <v>7314420.13</v>
      </c>
    </row>
    <row r="23" spans="1:29" ht="33" customHeight="1">
      <c r="A23" s="325" t="s">
        <v>89</v>
      </c>
      <c r="B23" s="645" t="s">
        <v>19</v>
      </c>
      <c r="C23" s="840"/>
      <c r="D23" s="1074">
        <v>4190000</v>
      </c>
      <c r="E23" s="882">
        <v>4072447.48</v>
      </c>
      <c r="F23" s="881">
        <f>'Оплата БАНК 1,2,3,4 кв-лы 2022'!B21+'Оплата БАНК 1,2,3,4 кв-лы 2022'!C21+'Оплата БАНК 1,2,3,4 кв-лы 2022'!D21</f>
        <v>108156.22</v>
      </c>
      <c r="G23" s="952">
        <f>'Оплата БАНК 1,2,3,4 кв-лы 2022'!C52+'Оплата БАНК 1,2,3,4 кв-лы 2022'!B52+'Оплата БАНК 1,2,3,4 кв-лы 2022'!D52+'Оплата БАНК 1,2,3,4 кв-лы 2022'!E52</f>
        <v>163188.69</v>
      </c>
      <c r="H23" s="952">
        <f>'Оплата БАНК 1,2,3,4 кв-лы 2022'!C90+'Оплата БАНК 1,2,3,4 кв-лы 2022'!D90+'Оплата БАНК 1,2,3,4 кв-лы 2022'!E90+'Оплата БАНК 1,2,3,4 кв-лы 2022'!B90</f>
        <v>160225.53999999998</v>
      </c>
      <c r="I23" s="952">
        <f>'Оплата БАНК 1,2,3,4 кв-лы 2022'!C125+'Оплата БАНК 1,2,3,4 кв-лы 2022'!B125+'Оплата БАНК 1,2,3,4 кв-лы 2022'!D125+'Оплата БАНК 1,2,3,4 кв-лы 2022'!E125+'Оплата БАНК 1,2,3,4 кв-лы 2022'!G125</f>
        <v>223113.08</v>
      </c>
      <c r="J23" s="1017">
        <f>67854.76+144847.73</f>
        <v>212702.49</v>
      </c>
      <c r="K23" s="1186">
        <f>E23+F23+J23-D23+G23+H23+D23-O23-L23+I23</f>
        <v>422567.4999999999</v>
      </c>
      <c r="L23" s="1019">
        <v>2600000</v>
      </c>
      <c r="M23" s="1073">
        <f t="shared" si="3"/>
        <v>3022567.5</v>
      </c>
      <c r="N23" s="815"/>
      <c r="O23" s="1024">
        <f>220000+1063322+633944</f>
        <v>1917266</v>
      </c>
      <c r="P23" s="1193">
        <f t="shared" si="0"/>
        <v>422567.4999999999</v>
      </c>
      <c r="Q23" s="1019">
        <v>2600000</v>
      </c>
      <c r="R23" s="1028">
        <f t="shared" si="1"/>
        <v>3022567.5</v>
      </c>
      <c r="S23" s="1224">
        <f>'Оплата БАНК 1,2,3,4 кв-лы 2023'!C21+'Оплата БАНК 1,2,3,4 кв-лы 2023'!D21+'Оплата БАНК 1,2,3,4 кв-лы 2023'!C54+'Оплата БАНК 1,2,3,4 кв-лы 2023'!B54</f>
        <v>170208.38</v>
      </c>
      <c r="T23" s="952">
        <f>'Оплата БАНК 1,2,3,4 кв-лы 2023'!D54+'Оплата БАНК 1,2,3,4 кв-лы 2023'!E54+'Оплата БАНК 1,2,3,4 кв-лы 2023'!C94+'Оплата БАНК 1,2,3,4 кв-лы 2023'!B94</f>
        <v>176306.28</v>
      </c>
      <c r="U23" s="952">
        <f>'Оплата БАНК 1,2,3,4 кв-лы 2023'!D94+'Оплата БАНК 1,2,3,4 кв-лы 2023'!E94+'Оплата БАНК 1,2,3,4 кв-лы 2023'!C129+'Оплата БАНК 1,2,3,4 кв-лы 2023'!B129</f>
        <v>180080.99</v>
      </c>
      <c r="V23" s="1429">
        <f>'Оплата БАНК 1,2,3,4 кв-лы 2023'!D129+'Оплата БАНК 1,2,3,4 кв-лы 2023'!E129+'Оплата БАНК 1,2,3,4 кв-лы 2023'!G129</f>
        <v>130285.1</v>
      </c>
      <c r="W23" s="696">
        <f>65755.07+35301.58+10127.67</f>
        <v>111184.32</v>
      </c>
      <c r="X23" s="1399">
        <v>1350000</v>
      </c>
      <c r="Y23" s="1399">
        <v>400000</v>
      </c>
      <c r="Z23" s="1261">
        <f>760000+537290</f>
        <v>1297290</v>
      </c>
      <c r="AA23" s="1269">
        <f>P23+S23+Q23+W23-X23-AB23-Y23+T23+U23+X23-Z23+V23+Y23</f>
        <v>130291.56999999972</v>
      </c>
      <c r="AB23" s="1264">
        <f>1493718+869333</f>
        <v>2363051</v>
      </c>
      <c r="AC23" s="881">
        <f t="shared" si="4"/>
        <v>1427581.5699999998</v>
      </c>
    </row>
    <row r="24" spans="1:29" ht="35.25" customHeight="1">
      <c r="A24" s="323" t="s">
        <v>90</v>
      </c>
      <c r="B24" s="323" t="s">
        <v>20</v>
      </c>
      <c r="C24" s="840"/>
      <c r="D24" s="1029">
        <v>1450000</v>
      </c>
      <c r="E24" s="882">
        <v>1454449.4200000002</v>
      </c>
      <c r="F24" s="881">
        <f>'Оплата БАНК 1,2,3,4 кв-лы 2022'!B22+'Оплата БАНК 1,2,3,4 кв-лы 2022'!C22+'Оплата БАНК 1,2,3,4 кв-лы 2022'!D22</f>
        <v>64337.19</v>
      </c>
      <c r="G24" s="952">
        <f>'Оплата БАНК 1,2,3,4 кв-лы 2022'!C53+'Оплата БАНК 1,2,3,4 кв-лы 2022'!B53+'Оплата БАНК 1,2,3,4 кв-лы 2022'!D53+'Оплата БАНК 1,2,3,4 кв-лы 2022'!E53</f>
        <v>104498.78</v>
      </c>
      <c r="H24" s="952">
        <f>'Оплата БАНК 1,2,3,4 кв-лы 2022'!C91+'Оплата БАНК 1,2,3,4 кв-лы 2022'!D91+'Оплата БАНК 1,2,3,4 кв-лы 2022'!E91+'Оплата БАНК 1,2,3,4 кв-лы 2022'!B91</f>
        <v>100468.43000000001</v>
      </c>
      <c r="I24" s="952">
        <f>'Оплата БАНК 1,2,3,4 кв-лы 2022'!C126+'Оплата БАНК 1,2,3,4 кв-лы 2022'!B126+'Оплата БАНК 1,2,3,4 кв-лы 2022'!D126+'Оплата БАНК 1,2,3,4 кв-лы 2022'!E126+'Оплата БАНК 1,2,3,4 кв-лы 2022'!G126</f>
        <v>140766.32</v>
      </c>
      <c r="J24" s="1016">
        <v>50483.84</v>
      </c>
      <c r="K24" s="1186">
        <f>E24+F24-D24+G24+H24+D24+J24-L24+I24</f>
        <v>215003.98000000016</v>
      </c>
      <c r="L24" s="1019">
        <v>1700000</v>
      </c>
      <c r="M24" s="1073">
        <f t="shared" si="3"/>
        <v>1915003.9800000002</v>
      </c>
      <c r="N24" s="815"/>
      <c r="O24" s="1024"/>
      <c r="P24" s="1193">
        <f t="shared" si="0"/>
        <v>215003.98000000016</v>
      </c>
      <c r="Q24" s="1019">
        <v>1700000</v>
      </c>
      <c r="R24" s="1028">
        <f t="shared" si="1"/>
        <v>1915003.9800000002</v>
      </c>
      <c r="S24" s="1224">
        <f>'Оплата БАНК 1,2,3,4 кв-лы 2023'!C22+'Оплата БАНК 1,2,3,4 кв-лы 2023'!D22+'Оплата БАНК 1,2,3,4 кв-лы 2023'!C55+'Оплата БАНК 1,2,3,4 кв-лы 2023'!B55</f>
        <v>114172.63</v>
      </c>
      <c r="T24" s="952">
        <f>'Оплата БАНК 1,2,3,4 кв-лы 2023'!D55+'Оплата БАНК 1,2,3,4 кв-лы 2023'!E55+'Оплата БАНК 1,2,3,4 кв-лы 2023'!C95+'Оплата БАНК 1,2,3,4 кв-лы 2023'!B95</f>
        <v>121326.72</v>
      </c>
      <c r="U24" s="952">
        <f>'Оплата БАНК 1,2,3,4 кв-лы 2023'!D95+'Оплата БАНК 1,2,3,4 кв-лы 2023'!E95+'Оплата БАНК 1,2,3,4 кв-лы 2023'!C130+'Оплата БАНК 1,2,3,4 кв-лы 2023'!B130</f>
        <v>116752.63999999998</v>
      </c>
      <c r="V24" s="1429">
        <f>'Оплата БАНК 1,2,3,4 кв-лы 2023'!D130+'Оплата БАНК 1,2,3,4 кв-лы 2023'!E130+'Оплата БАНК 1,2,3,4 кв-лы 2023'!G130</f>
        <v>77591.24999999999</v>
      </c>
      <c r="W24" s="696">
        <f>42993.7+50991.16</f>
        <v>93984.86</v>
      </c>
      <c r="X24" s="1399">
        <v>1950000</v>
      </c>
      <c r="Y24" s="1261"/>
      <c r="Z24" s="1261">
        <v>2280000</v>
      </c>
      <c r="AA24" s="1269">
        <f>P24+S24+Q24+W24-X24+T24+U24+X24-Z24+V24</f>
        <v>158832.08000000007</v>
      </c>
      <c r="AB24" s="696"/>
      <c r="AC24" s="881">
        <f t="shared" si="4"/>
        <v>2438832.08</v>
      </c>
    </row>
    <row r="25" spans="1:29" ht="33" customHeight="1">
      <c r="A25" s="323" t="s">
        <v>119</v>
      </c>
      <c r="B25" s="323" t="s">
        <v>454</v>
      </c>
      <c r="C25" s="840"/>
      <c r="D25" s="953">
        <v>3730000</v>
      </c>
      <c r="E25" s="882">
        <v>146213.25000000047</v>
      </c>
      <c r="F25" s="881">
        <f>'Оплата БАНК 1,2,3,4 кв-лы 2022'!B23+'Оплата БАНК 1,2,3,4 кв-лы 2022'!C23+'Оплата БАНК 1,2,3,4 кв-лы 2022'!D23</f>
        <v>82613.92</v>
      </c>
      <c r="G25" s="952">
        <f>'Оплата БАНК 1,2,3,4 кв-лы 2022'!C54+'Оплата БАНК 1,2,3,4 кв-лы 2022'!B54+'Оплата БАНК 1,2,3,4 кв-лы 2022'!D54+'Оплата БАНК 1,2,3,4 кв-лы 2022'!E54</f>
        <v>130772.97</v>
      </c>
      <c r="H25" s="952">
        <f>'Оплата БАНК 1,2,3,4 кв-лы 2022'!C92+'Оплата БАНК 1,2,3,4 кв-лы 2022'!D92+'Оплата БАНК 1,2,3,4 кв-лы 2022'!E92+'Оплата БАНК 1,2,3,4 кв-лы 2022'!B92</f>
        <v>146466.74</v>
      </c>
      <c r="I25" s="952">
        <f>'Оплата БАНК 1,2,3,4 кв-лы 2022'!C127+'Оплата БАНК 1,2,3,4 кв-лы 2022'!B127+'Оплата БАНК 1,2,3,4 кв-лы 2022'!D127+'Оплата БАНК 1,2,3,4 кв-лы 2022'!E127+'Оплата БАНК 1,2,3,4 кв-лы 2022'!G127</f>
        <v>187410.34</v>
      </c>
      <c r="J25" s="1016">
        <f>93180.51+135302.29</f>
        <v>228482.8</v>
      </c>
      <c r="K25" s="1187">
        <f>E25+F25-N25+D25+J25+G25-O25-L25+H25+I25</f>
        <v>151422.0200000004</v>
      </c>
      <c r="L25" s="1028">
        <v>3480000</v>
      </c>
      <c r="M25" s="961">
        <f t="shared" si="3"/>
        <v>3631422.0200000005</v>
      </c>
      <c r="N25" s="1025">
        <v>123000</v>
      </c>
      <c r="O25" s="1024">
        <v>897538</v>
      </c>
      <c r="P25" s="1193">
        <f t="shared" si="0"/>
        <v>151422.0200000004</v>
      </c>
      <c r="Q25" s="1028">
        <v>3480000</v>
      </c>
      <c r="R25" s="1028">
        <f t="shared" si="1"/>
        <v>3631422.0200000005</v>
      </c>
      <c r="S25" s="1224">
        <f>'Оплата БАНК 1,2,3,4 кв-лы 2023'!C23+'Оплата БАНК 1,2,3,4 кв-лы 2023'!D23+'Оплата БАНК 1,2,3,4 кв-лы 2023'!C56+'Оплата БАНК 1,2,3,4 кв-лы 2023'!B56</f>
        <v>144086.8</v>
      </c>
      <c r="T25" s="952">
        <f>'Оплата БАНК 1,2,3,4 кв-лы 2023'!D56+'Оплата БАНК 1,2,3,4 кв-лы 2023'!E56+'Оплата БАНК 1,2,3,4 кв-лы 2023'!C96+'Оплата БАНК 1,2,3,4 кв-лы 2023'!B96</f>
        <v>147891.69</v>
      </c>
      <c r="U25" s="952">
        <f>'Оплата БАНК 1,2,3,4 кв-лы 2023'!D96+'Оплата БАНК 1,2,3,4 кв-лы 2023'!E96+'Оплата БАНК 1,2,3,4 кв-лы 2023'!C131+'Оплата БАНК 1,2,3,4 кв-лы 2023'!B131</f>
        <v>152045.18</v>
      </c>
      <c r="V25" s="1429">
        <f>'Оплата БАНК 1,2,3,4 кв-лы 2023'!D131+'Оплата БАНК 1,2,3,4 кв-лы 2023'!E131+'Оплата БАНК 1,2,3,4 кв-лы 2023'!G131</f>
        <v>111236.96999999999</v>
      </c>
      <c r="W25" s="1351">
        <f>83920.44+97478.84</f>
        <v>181399.28</v>
      </c>
      <c r="X25" s="41"/>
      <c r="Y25" s="1399">
        <v>3850000</v>
      </c>
      <c r="Z25" s="1261">
        <v>4256800</v>
      </c>
      <c r="AA25" s="1269">
        <f>P25+S25+Q25+W25-Y25+T25+U25+V25+Y25-Z25</f>
        <v>111281.94000000041</v>
      </c>
      <c r="AB25" s="696"/>
      <c r="AC25" s="881">
        <f t="shared" si="4"/>
        <v>4368081.94</v>
      </c>
    </row>
    <row r="26" spans="1:29" ht="30.75" customHeight="1">
      <c r="A26" s="323" t="s">
        <v>119</v>
      </c>
      <c r="B26" s="323" t="s">
        <v>149</v>
      </c>
      <c r="C26" s="840"/>
      <c r="D26" s="953">
        <v>1100000</v>
      </c>
      <c r="E26" s="882">
        <v>51243.39000000013</v>
      </c>
      <c r="F26" s="881">
        <f>'Оплата БАНК 1,2,3,4 кв-лы 2022'!B24+'Оплата БАНК 1,2,3,4 кв-лы 2022'!C24+'Оплата БАНК 1,2,3,4 кв-лы 2022'!D24</f>
        <v>25328.980000000003</v>
      </c>
      <c r="G26" s="952">
        <f>'Оплата БАНК 1,2,3,4 кв-лы 2022'!C55+'Оплата БАНК 1,2,3,4 кв-лы 2022'!B55+'Оплата БАНК 1,2,3,4 кв-лы 2022'!D55+'Оплата БАНК 1,2,3,4 кв-лы 2022'!E55</f>
        <v>43454.350000000006</v>
      </c>
      <c r="H26" s="952">
        <f>'Оплата БАНК 1,2,3,4 кв-лы 2022'!C93+'Оплата БАНК 1,2,3,4 кв-лы 2022'!D93+'Оплата БАНК 1,2,3,4 кв-лы 2022'!E93+'Оплата БАНК 1,2,3,4 кв-лы 2022'!B93</f>
        <v>41570.75</v>
      </c>
      <c r="I26" s="952">
        <f>'Оплата БАНК 1,2,3,4 кв-лы 2022'!C128+'Оплата БАНК 1,2,3,4 кв-лы 2022'!B128+'Оплата БАНК 1,2,3,4 кв-лы 2022'!D128+'Оплата БАНК 1,2,3,4 кв-лы 2022'!E128+'Оплата БАНК 1,2,3,4 кв-лы 2022'!G128</f>
        <v>58535.33</v>
      </c>
      <c r="J26" s="1016">
        <f>27437.62+53593.76</f>
        <v>81031.38</v>
      </c>
      <c r="K26" s="1186">
        <f>E26+F26+D26+J26+G26-L26+H26+I26</f>
        <v>51164.180000000095</v>
      </c>
      <c r="L26" s="1028">
        <v>1350000</v>
      </c>
      <c r="M26" s="961">
        <f t="shared" si="3"/>
        <v>1401164.1800000002</v>
      </c>
      <c r="N26" s="815"/>
      <c r="O26" s="1024"/>
      <c r="P26" s="1193">
        <f t="shared" si="0"/>
        <v>51164.180000000095</v>
      </c>
      <c r="Q26" s="1028">
        <v>1350000</v>
      </c>
      <c r="R26" s="1028">
        <f t="shared" si="1"/>
        <v>1401164.1800000002</v>
      </c>
      <c r="S26" s="1224">
        <f>'Оплата БАНК 1,2,3,4 кв-лы 2023'!C24+'Оплата БАНК 1,2,3,4 кв-лы 2023'!D24+'Оплата БАНК 1,2,3,4 кв-лы 2023'!C57+'Оплата БАНК 1,2,3,4 кв-лы 2023'!B57</f>
        <v>47289.39</v>
      </c>
      <c r="T26" s="952">
        <f>'Оплата БАНК 1,2,3,4 кв-лы 2023'!D57+'Оплата БАНК 1,2,3,4 кв-лы 2023'!E57+'Оплата БАНК 1,2,3,4 кв-лы 2023'!C97+'Оплата БАНК 1,2,3,4 кв-лы 2023'!B97</f>
        <v>49897.19</v>
      </c>
      <c r="U26" s="952">
        <f>'Оплата БАНК 1,2,3,4 кв-лы 2023'!D97+'Оплата БАНК 1,2,3,4 кв-лы 2023'!E97+'Оплата БАНК 1,2,3,4 кв-лы 2023'!C132+'Оплата БАНК 1,2,3,4 кв-лы 2023'!B132</f>
        <v>53143.520000000004</v>
      </c>
      <c r="V26" s="1429">
        <f>'Оплата БАНК 1,2,3,4 кв-лы 2023'!D132+'Оплата БАНК 1,2,3,4 кв-лы 2023'!E132+'Оплата БАНК 1,2,3,4 кв-лы 2023'!G132</f>
        <v>34949.21</v>
      </c>
      <c r="W26" s="696">
        <f>32555.34</f>
        <v>32555.34</v>
      </c>
      <c r="X26" s="41"/>
      <c r="Y26" s="41"/>
      <c r="Z26" s="41"/>
      <c r="AA26" s="1269">
        <f>P26+S26+Q26+W26-AB26+T26+U26+V26</f>
        <v>327998.8300000002</v>
      </c>
      <c r="AB26" s="1264">
        <v>1291000</v>
      </c>
      <c r="AC26" s="881">
        <f>AA26</f>
        <v>327998.8300000002</v>
      </c>
    </row>
    <row r="27" spans="1:29" ht="35.25" customHeight="1">
      <c r="A27" s="323" t="s">
        <v>90</v>
      </c>
      <c r="B27" s="323" t="s">
        <v>452</v>
      </c>
      <c r="C27" s="840"/>
      <c r="D27" s="1029">
        <v>3100000</v>
      </c>
      <c r="E27" s="880">
        <v>3107419.58</v>
      </c>
      <c r="F27" s="881">
        <f>'Оплата БАНК 1,2,3,4 кв-лы 2022'!B25+'Оплата БАНК 1,2,3,4 кв-лы 2022'!C25+'Оплата БАНК 1,2,3,4 кв-лы 2022'!D25</f>
        <v>148955.13</v>
      </c>
      <c r="G27" s="952">
        <f>'Оплата БАНК 1,2,3,4 кв-лы 2022'!C56+'Оплата БАНК 1,2,3,4 кв-лы 2022'!B56+'Оплата БАНК 1,2,3,4 кв-лы 2022'!D56+'Оплата БАНК 1,2,3,4 кв-лы 2022'!E56</f>
        <v>148036.23</v>
      </c>
      <c r="H27" s="952">
        <f>'Оплата БАНК 1,2,3,4 кв-лы 2022'!C94+'Оплата БАНК 1,2,3,4 кв-лы 2022'!D94+'Оплата БАНК 1,2,3,4 кв-лы 2022'!E94+'Оплата БАНК 1,2,3,4 кв-лы 2022'!B94</f>
        <v>129157.72000000002</v>
      </c>
      <c r="I27" s="952">
        <f>'Оплата БАНК 1,2,3,4 кв-лы 2022'!C129+'Оплата БАНК 1,2,3,4 кв-лы 2022'!B129+'Оплата БАНК 1,2,3,4 кв-лы 2022'!D129+'Оплата БАНК 1,2,3,4 кв-лы 2022'!E129+'Оплата БАНК 1,2,3,4 кв-лы 2022'!G129</f>
        <v>189038.56</v>
      </c>
      <c r="J27" s="1016">
        <v>107930.96</v>
      </c>
      <c r="K27" s="1186">
        <f>E27+F27-D27+G27+H27+D27+J27-L27+I27</f>
        <v>330538.1800000001</v>
      </c>
      <c r="L27" s="1019">
        <v>3500000</v>
      </c>
      <c r="M27" s="1073">
        <f t="shared" si="3"/>
        <v>3830538.18</v>
      </c>
      <c r="N27" s="815"/>
      <c r="O27" s="1024"/>
      <c r="P27" s="1193">
        <f t="shared" si="0"/>
        <v>330538.1800000001</v>
      </c>
      <c r="Q27" s="1019">
        <v>3500000</v>
      </c>
      <c r="R27" s="1028">
        <f t="shared" si="1"/>
        <v>3830538.18</v>
      </c>
      <c r="S27" s="1224">
        <f>'Оплата БАНК 1,2,3,4 кв-лы 2023'!C25+'Оплата БАНК 1,2,3,4 кв-лы 2023'!D25+'Оплата БАНК 1,2,3,4 кв-лы 2023'!C58+'Оплата БАНК 1,2,3,4 кв-лы 2023'!B58</f>
        <v>134904.96000000002</v>
      </c>
      <c r="T27" s="952">
        <f>'Оплата БАНК 1,2,3,4 кв-лы 2023'!D58+'Оплата БАНК 1,2,3,4 кв-лы 2023'!E58+'Оплата БАНК 1,2,3,4 кв-лы 2023'!C98+'Оплата БАНК 1,2,3,4 кв-лы 2023'!B98</f>
        <v>199786.99</v>
      </c>
      <c r="U27" s="952">
        <f>'Оплата БАНК 1,2,3,4 кв-лы 2023'!D98+'Оплата БАНК 1,2,3,4 кв-лы 2023'!E98+'Оплата БАНК 1,2,3,4 кв-лы 2023'!C133+'Оплата БАНК 1,2,3,4 кв-лы 2023'!B133</f>
        <v>141902.73</v>
      </c>
      <c r="V27" s="1429">
        <f>'Оплата БАНК 1,2,3,4 кв-лы 2023'!D133+'Оплата БАНК 1,2,3,4 кв-лы 2023'!E133+'Оплата БАНК 1,2,3,4 кв-лы 2023'!G133</f>
        <v>104569.8</v>
      </c>
      <c r="W27" s="696">
        <f>88516.44+94922.01</f>
        <v>183438.45</v>
      </c>
      <c r="X27" s="1399">
        <v>3630000</v>
      </c>
      <c r="Y27" s="1261"/>
      <c r="Z27" s="1261">
        <v>4100000</v>
      </c>
      <c r="AA27" s="1269">
        <f>P27+S27+Q27+W27-AB27-X27+T27+U27+X27-Z27+V27</f>
        <v>213730.1100000005</v>
      </c>
      <c r="AB27" s="1263">
        <v>281411</v>
      </c>
      <c r="AC27" s="881">
        <f>Z27+AA27</f>
        <v>4313730.11</v>
      </c>
    </row>
    <row r="28" spans="1:30" ht="33" customHeight="1">
      <c r="A28" s="323" t="s">
        <v>119</v>
      </c>
      <c r="B28" s="323" t="s">
        <v>450</v>
      </c>
      <c r="C28" s="840"/>
      <c r="D28" s="955">
        <v>3400000</v>
      </c>
      <c r="E28" s="882">
        <v>3418601.54</v>
      </c>
      <c r="F28" s="881">
        <f>'Оплата БАНК 1,2,3,4 кв-лы 2022'!B26+'Оплата БАНК 1,2,3,4 кв-лы 2022'!C26+'Оплата БАНК 1,2,3,4 кв-лы 2022'!D26</f>
        <v>152805.03999999998</v>
      </c>
      <c r="G28" s="952">
        <f>'Оплата БАНК 1,2,3,4 кв-лы 2022'!C57+'Оплата БАНК 1,2,3,4 кв-лы 2022'!B57+'Оплата БАНК 1,2,3,4 кв-лы 2022'!D57+'Оплата БАНК 1,2,3,4 кв-лы 2022'!E57</f>
        <v>199209.83</v>
      </c>
      <c r="H28" s="952">
        <f>'Оплата БАНК 1,2,3,4 кв-лы 2022'!C95+'Оплата БАНК 1,2,3,4 кв-лы 2022'!D95+'Оплата БАНК 1,2,3,4 кв-лы 2022'!E95+'Оплата БАНК 1,2,3,4 кв-лы 2022'!B95</f>
        <v>173172.47999999998</v>
      </c>
      <c r="I28" s="952">
        <f>'Оплата БАНК 1,2,3,4 кв-лы 2022'!C130+'Оплата БАНК 1,2,3,4 кв-лы 2022'!B130+'Оплата БАНК 1,2,3,4 кв-лы 2022'!D130+'Оплата БАНК 1,2,3,4 кв-лы 2022'!E130+'Оплата БАНК 1,2,3,4 кв-лы 2022'!G130</f>
        <v>205202.72999999998</v>
      </c>
      <c r="J28" s="1016">
        <v>118375.89</v>
      </c>
      <c r="K28" s="1186">
        <f>E28+F28-D28+G28+H28+D28+J28-L28+I28</f>
        <v>367367.51000000024</v>
      </c>
      <c r="L28" s="1019">
        <v>3900000</v>
      </c>
      <c r="M28" s="1073">
        <f t="shared" si="3"/>
        <v>4267367.51</v>
      </c>
      <c r="N28" s="815"/>
      <c r="O28" s="1024"/>
      <c r="P28" s="1193">
        <f t="shared" si="0"/>
        <v>367367.51000000024</v>
      </c>
      <c r="Q28" s="1019">
        <v>3900000</v>
      </c>
      <c r="R28" s="1028">
        <f t="shared" si="1"/>
        <v>4267367.51</v>
      </c>
      <c r="S28" s="1224">
        <f>'Оплата БАНК 1,2,3,4 кв-лы 2023'!C26+'Оплата БАНК 1,2,3,4 кв-лы 2023'!D26+'Оплата БАНК 1,2,3,4 кв-лы 2023'!C59+'Оплата БАНК 1,2,3,4 кв-лы 2023'!B59</f>
        <v>160852.58000000002</v>
      </c>
      <c r="T28" s="952">
        <f>'Оплата БАНК 1,2,3,4 кв-лы 2023'!D59+'Оплата БАНК 1,2,3,4 кв-лы 2023'!E59+'Оплата БАНК 1,2,3,4 кв-лы 2023'!C99+'Оплата БАНК 1,2,3,4 кв-лы 2023'!B99</f>
        <v>165099.26</v>
      </c>
      <c r="U28" s="952">
        <f>'Оплата БАНК 1,2,3,4 кв-лы 2023'!D99+'Оплата БАНК 1,2,3,4 кв-лы 2023'!E99+'Оплата БАНК 1,2,3,4 кв-лы 2023'!C134+'Оплата БАНК 1,2,3,4 кв-лы 2023'!B134</f>
        <v>191858.98</v>
      </c>
      <c r="V28" s="1429">
        <f>'Оплата БАНК 1,2,3,4 кв-лы 2023'!D134+'Оплата БАНК 1,2,3,4 кв-лы 2023'!E134+'Оплата БАНК 1,2,3,4 кв-лы 2023'!G134</f>
        <v>147619.59</v>
      </c>
      <c r="W28" s="696">
        <f>98632.6+104597.26+13165.97</f>
        <v>216395.83</v>
      </c>
      <c r="X28" s="1399">
        <v>4000000</v>
      </c>
      <c r="Y28" s="1399">
        <v>520000</v>
      </c>
      <c r="Z28" s="1261">
        <v>3371570</v>
      </c>
      <c r="AA28" s="1269">
        <f>P28+S28+W28+Q28-X28-Y28+T28+U28+X28+V28-AB28+Y28-Z28</f>
        <v>147623.75</v>
      </c>
      <c r="AB28" s="1264">
        <v>1630000</v>
      </c>
      <c r="AC28" s="881">
        <f>Z28+AA28</f>
        <v>3519193.75</v>
      </c>
      <c r="AD28" s="53"/>
    </row>
    <row r="29" spans="1:29" ht="33" customHeight="1">
      <c r="A29" s="323"/>
      <c r="B29" s="323" t="s">
        <v>215</v>
      </c>
      <c r="C29" s="840"/>
      <c r="D29" s="1029">
        <v>2700000</v>
      </c>
      <c r="E29" s="882">
        <v>174896.4299999997</v>
      </c>
      <c r="F29" s="881">
        <f>'Оплата БАНК 1,2,3,4 кв-лы 2022'!B27+'Оплата БАНК 1,2,3,4 кв-лы 2022'!C27+'Оплата БАНК 1,2,3,4 кв-лы 2022'!D27</f>
        <v>115388.70999999999</v>
      </c>
      <c r="G29" s="952">
        <f>'Оплата БАНК 1,2,3,4 кв-лы 2022'!C58+'Оплата БАНК 1,2,3,4 кв-лы 2022'!B58+'Оплата БАНК 1,2,3,4 кв-лы 2022'!D58+'Оплата БАНК 1,2,3,4 кв-лы 2022'!E58</f>
        <v>167917.33000000002</v>
      </c>
      <c r="H29" s="952">
        <f>'Оплата БАНК 1,2,3,4 кв-лы 2022'!C96+'Оплата БАНК 1,2,3,4 кв-лы 2022'!D96+'Оплата БАНК 1,2,3,4 кв-лы 2022'!E96+'Оплата БАНК 1,2,3,4 кв-лы 2022'!B96</f>
        <v>128725.09999999999</v>
      </c>
      <c r="I29" s="952">
        <f>'Оплата БАНК 1,2,3,4 кв-лы 2022'!C131+'Оплата БАНК 1,2,3,4 кв-лы 2022'!B131+'Оплата БАНК 1,2,3,4 кв-лы 2022'!D131+'Оплата БАНК 1,2,3,4 кв-лы 2022'!E131+'Оплата БАНК 1,2,3,4 кв-лы 2022'!G131</f>
        <v>194952.96999999997</v>
      </c>
      <c r="J29" s="1016">
        <f>81621.37+84727.23</f>
        <v>166348.59999999998</v>
      </c>
      <c r="K29" s="1187">
        <f>E29+F29+J29+G29+D29+H29+I29-L29</f>
        <v>48229.139999999665</v>
      </c>
      <c r="L29" s="1028">
        <v>3600000</v>
      </c>
      <c r="M29" s="961">
        <f t="shared" si="3"/>
        <v>3648229.1399999997</v>
      </c>
      <c r="N29" s="815"/>
      <c r="O29" s="1024"/>
      <c r="P29" s="1193">
        <f t="shared" si="0"/>
        <v>48229.139999999665</v>
      </c>
      <c r="Q29" s="1028">
        <v>3600000</v>
      </c>
      <c r="R29" s="1028">
        <f t="shared" si="1"/>
        <v>3648229.1399999997</v>
      </c>
      <c r="S29" s="1224">
        <f>'Оплата БАНК 1,2,3,4 кв-лы 2023'!C27+'Оплата БАНК 1,2,3,4 кв-лы 2023'!D27+'Оплата БАНК 1,2,3,4 кв-лы 2023'!C60+'Оплата БАНК 1,2,3,4 кв-лы 2023'!B60</f>
        <v>133913.47000000003</v>
      </c>
      <c r="T29" s="952">
        <f>'Оплата БАНК 1,2,3,4 кв-лы 2023'!D60+'Оплата БАНК 1,2,3,4 кв-лы 2023'!E60+'Оплата БАНК 1,2,3,4 кв-лы 2023'!C100+'Оплата БАНК 1,2,3,4 кв-лы 2023'!B100</f>
        <v>158661.77999999997</v>
      </c>
      <c r="U29" s="952">
        <f>'Оплата БАНК 1,2,3,4 кв-лы 2023'!D100+'Оплата БАНК 1,2,3,4 кв-лы 2023'!E100+'Оплата БАНК 1,2,3,4 кв-лы 2023'!C135+'Оплата БАНК 1,2,3,4 кв-лы 2023'!B135</f>
        <v>140296.22999999998</v>
      </c>
      <c r="V29" s="1429">
        <f>'Оплата БАНК 1,2,3,4 кв-лы 2023'!D135+'Оплата БАНК 1,2,3,4 кв-лы 2023'!E135+'Оплата БАНК 1,2,3,4 кв-лы 2023'!G135</f>
        <v>93119.94000000002</v>
      </c>
      <c r="W29" s="1351">
        <f>88767.12+103946.56</f>
        <v>192713.68</v>
      </c>
      <c r="X29" s="41"/>
      <c r="Y29" s="1399">
        <v>3970000</v>
      </c>
      <c r="Z29" s="1273"/>
      <c r="AA29" s="1269">
        <f>P29+S29+T29+Q29+W29-Y29+U29+V29+Y29</f>
        <v>4366934.24</v>
      </c>
      <c r="AB29" s="696"/>
      <c r="AC29" s="881"/>
    </row>
    <row r="30" spans="1:29" ht="33" customHeight="1">
      <c r="A30" s="323"/>
      <c r="B30" s="323" t="s">
        <v>451</v>
      </c>
      <c r="C30" s="840"/>
      <c r="D30" s="1029">
        <v>1200000</v>
      </c>
      <c r="E30" s="882">
        <v>63192.010000000104</v>
      </c>
      <c r="F30" s="881">
        <f>'Оплата БАНК 1,2,3,4 кв-лы 2022'!B28+'Оплата БАНК 1,2,3,4 кв-лы 2022'!C28+'Оплата БАНК 1,2,3,4 кв-лы 2022'!D28</f>
        <v>56050.64</v>
      </c>
      <c r="G30" s="952">
        <f>'Оплата БАНК 1,2,3,4 кв-лы 2022'!C59+'Оплата БАНК 1,2,3,4 кв-лы 2022'!B59+'Оплата БАНК 1,2,3,4 кв-лы 2022'!D59+'Оплата БАНК 1,2,3,4 кв-лы 2022'!E59</f>
        <v>56984.99</v>
      </c>
      <c r="H30" s="952">
        <f>'Оплата БАНК 1,2,3,4 кв-лы 2022'!C97+'Оплата БАНК 1,2,3,4 кв-лы 2022'!D97+'Оплата БАНК 1,2,3,4 кв-лы 2022'!E97+'Оплата БАНК 1,2,3,4 кв-лы 2022'!B97</f>
        <v>72495.95999999999</v>
      </c>
      <c r="I30" s="952">
        <f>'Оплата БАНК 1,2,3,4 кв-лы 2022'!C132+'Оплата БАНК 1,2,3,4 кв-лы 2022'!B132+'Оплата БАНК 1,2,3,4 кв-лы 2022'!D132+'Оплата БАНК 1,2,3,4 кв-лы 2022'!E132+'Оплата БАНК 1,2,3,4 кв-лы 2022'!G132</f>
        <v>91019.4</v>
      </c>
      <c r="J30" s="1016">
        <f>36276.16+37068.16</f>
        <v>73344.32</v>
      </c>
      <c r="K30" s="1188">
        <f>E30+F30+G30+J30+D30-L30+H30+I30-O30</f>
        <v>36044.32000000018</v>
      </c>
      <c r="L30" s="1037">
        <v>1300000</v>
      </c>
      <c r="M30" s="961">
        <f t="shared" si="3"/>
        <v>1336044.3200000003</v>
      </c>
      <c r="N30" s="815"/>
      <c r="O30" s="1024">
        <f>277043</f>
        <v>277043</v>
      </c>
      <c r="P30" s="1193">
        <f t="shared" si="0"/>
        <v>36044.32000000018</v>
      </c>
      <c r="Q30" s="1272">
        <v>1300000</v>
      </c>
      <c r="R30" s="1028">
        <f t="shared" si="1"/>
        <v>1336044.3200000003</v>
      </c>
      <c r="S30" s="1224">
        <f>'Оплата БАНК 1,2,3,4 кв-лы 2023'!C28+'Оплата БАНК 1,2,3,4 кв-лы 2023'!D28+'Оплата БАНК 1,2,3,4 кв-лы 2023'!C61+'Оплата БАНК 1,2,3,4 кв-лы 2023'!B61</f>
        <v>74905.05</v>
      </c>
      <c r="T30" s="952">
        <f>'Оплата БАНК 1,2,3,4 кв-лы 2023'!D61+'Оплата БАНК 1,2,3,4 кв-лы 2023'!E61+'Оплата БАНК 1,2,3,4 кв-лы 2023'!C101+'Оплата БАНК 1,2,3,4 кв-лы 2023'!B101</f>
        <v>67672.57</v>
      </c>
      <c r="U30" s="952">
        <f>'Оплата БАНК 1,2,3,4 кв-лы 2023'!D101+'Оплата БАНК 1,2,3,4 кв-лы 2023'!E101+'Оплата БАНК 1,2,3,4 кв-лы 2023'!C136+'Оплата БАНК 1,2,3,4 кв-лы 2023'!B136</f>
        <v>52369.19</v>
      </c>
      <c r="V30" s="1429">
        <f>'Оплата БАНК 1,2,3,4 кв-лы 2023'!D136+'Оплата БАНК 1,2,3,4 кв-лы 2023'!E136+'Оплата БАНК 1,2,3,4 кв-лы 2023'!G136</f>
        <v>38860.229999999996</v>
      </c>
      <c r="W30" s="696">
        <f>32054.79+31681.45</f>
        <v>63736.240000000005</v>
      </c>
      <c r="X30" s="41"/>
      <c r="Y30" s="1399">
        <v>1210000</v>
      </c>
      <c r="Z30" s="1261"/>
      <c r="AA30" s="1269">
        <f>P30+S30-AB30+T30+Q30+W30-Y30+U30+V30+Y30</f>
        <v>1355876.6</v>
      </c>
      <c r="AB30" s="1263">
        <f>108028+169683</f>
        <v>277711</v>
      </c>
      <c r="AC30" s="881"/>
    </row>
    <row r="31" spans="1:29" ht="33" customHeight="1">
      <c r="A31" s="323"/>
      <c r="B31" s="323" t="s">
        <v>300</v>
      </c>
      <c r="C31" s="1048"/>
      <c r="D31" s="1027"/>
      <c r="E31" s="882"/>
      <c r="F31" s="881"/>
      <c r="G31" s="952"/>
      <c r="H31" s="952">
        <f>'Оплата БАНК 1,2,3,4 кв-лы 2022'!C98+'Оплата БАНК 1,2,3,4 кв-лы 2022'!D98+'Оплата БАНК 1,2,3,4 кв-лы 2022'!E98+'Оплата БАНК 1,2,3,4 кв-лы 2022'!B98</f>
        <v>56024.240000000005</v>
      </c>
      <c r="I31" s="952">
        <f>'Оплата БАНК 1,2,3,4 кв-лы 2022'!C133+'Оплата БАНК 1,2,3,4 кв-лы 2022'!B133+'Оплата БАНК 1,2,3,4 кв-лы 2022'!D133+'Оплата БАНК 1,2,3,4 кв-лы 2022'!E133+'Оплата БАНК 1,2,3,4 кв-лы 2022'!G133</f>
        <v>432913.25999999995</v>
      </c>
      <c r="J31" s="1016">
        <v>27527.16</v>
      </c>
      <c r="K31" s="1188">
        <f>4944093.41+H31-L31+J31+I31</f>
        <v>560558.0700000003</v>
      </c>
      <c r="L31" s="1037">
        <v>4900000</v>
      </c>
      <c r="M31" s="961">
        <f t="shared" si="3"/>
        <v>5460558.07</v>
      </c>
      <c r="N31" s="815"/>
      <c r="O31" s="1024"/>
      <c r="P31" s="1193">
        <f t="shared" si="0"/>
        <v>560558.0700000003</v>
      </c>
      <c r="Q31" s="1037">
        <v>4900000</v>
      </c>
      <c r="R31" s="1028">
        <f t="shared" si="1"/>
        <v>5460558.07</v>
      </c>
      <c r="S31" s="1224">
        <f>'Оплата БАНК 1,2,3,4 кв-лы 2023'!C29+'Оплата БАНК 1,2,3,4 кв-лы 2023'!D29+'Оплата БАНК 1,2,3,4 кв-лы 2023'!C62+'Оплата БАНК 1,2,3,4 кв-лы 2023'!B62</f>
        <v>209585.84000000003</v>
      </c>
      <c r="T31" s="952">
        <f>'Оплата БАНК 1,2,3,4 кв-лы 2023'!D62+'Оплата БАНК 1,2,3,4 кв-лы 2023'!E62+'Оплата БАНК 1,2,3,4 кв-лы 2023'!C102+'Оплата БАНК 1,2,3,4 кв-лы 2023'!B102</f>
        <v>273172.85000000003</v>
      </c>
      <c r="U31" s="952">
        <f>'Оплата БАНК 1,2,3,4 кв-лы 2023'!D102+'Оплата БАНК 1,2,3,4 кв-лы 2023'!E102+'Оплата БАНК 1,2,3,4 кв-лы 2023'!C137+'Оплата БАНК 1,2,3,4 кв-лы 2023'!B137</f>
        <v>230250.79</v>
      </c>
      <c r="V31" s="1429">
        <f>'Оплата БАНК 1,2,3,4 кв-лы 2023'!D137+'Оплата БАНК 1,2,3,4 кв-лы 2023'!E137+'Оплата БАНК 1,2,3,4 кв-лы 2023'!G137</f>
        <v>128058.45999999999</v>
      </c>
      <c r="W31" s="696">
        <f>123923.01+32459.74+114534+6076.6</f>
        <v>276993.35</v>
      </c>
      <c r="X31" s="1399">
        <v>4380000</v>
      </c>
      <c r="Y31" s="1399">
        <v>240000</v>
      </c>
      <c r="Z31" s="1261">
        <f>4400000+412560</f>
        <v>4812560</v>
      </c>
      <c r="AA31" s="1269">
        <f>P31+S31+Q31+W31-AB31-X31-Y31+T31+U31+X31-Z31+V31+Y31</f>
        <v>128059.35999999943</v>
      </c>
      <c r="AB31" s="1264">
        <f>1200000+438000</f>
        <v>1638000</v>
      </c>
      <c r="AC31" s="881">
        <f>Z31+AA31</f>
        <v>4940619.359999999</v>
      </c>
    </row>
    <row r="32" spans="1:29" ht="33" customHeight="1">
      <c r="A32" s="323"/>
      <c r="B32" s="323" t="s">
        <v>453</v>
      </c>
      <c r="C32" s="1048"/>
      <c r="D32" s="1027"/>
      <c r="E32" s="882"/>
      <c r="F32" s="881"/>
      <c r="G32" s="952"/>
      <c r="H32" s="952">
        <v>5102475.1</v>
      </c>
      <c r="I32" s="952">
        <f>'Оплата БАНК 1,2,3,4 кв-лы 2022'!C134+'Оплата БАНК 1,2,3,4 кв-лы 2022'!B134+'Оплата БАНК 1,2,3,4 кв-лы 2022'!D134+'Оплата БАНК 1,2,3,4 кв-лы 2022'!E134+'Оплата БАНК 1,2,3,4 кв-лы 2022'!G134</f>
        <v>374905.85000000003</v>
      </c>
      <c r="J32" s="1016">
        <f>37536.78</f>
        <v>37536.78</v>
      </c>
      <c r="K32" s="1188">
        <f>H32+I32-L32+J32-O32</f>
        <v>470670.72999999905</v>
      </c>
      <c r="L32" s="1037">
        <v>3200000</v>
      </c>
      <c r="M32" s="961">
        <f>K32+L32</f>
        <v>3670670.729999999</v>
      </c>
      <c r="N32" s="815"/>
      <c r="O32" s="1024">
        <f>255941+1588306</f>
        <v>1844247</v>
      </c>
      <c r="P32" s="1193">
        <f t="shared" si="0"/>
        <v>470670.72999999905</v>
      </c>
      <c r="Q32" s="1270">
        <v>3200000</v>
      </c>
      <c r="R32" s="1028">
        <f t="shared" si="1"/>
        <v>3670670.729999999</v>
      </c>
      <c r="S32" s="1224">
        <f>'Оплата БАНК 1,2,3,4 кв-лы 2023'!C30+'Оплата БАНК 1,2,3,4 кв-лы 2023'!D30+'Оплата БАНК 1,2,3,4 кв-лы 2023'!C63+'Оплата БАНК 1,2,3,4 кв-лы 2023'!B63</f>
        <v>528379.52</v>
      </c>
      <c r="T32" s="952">
        <f>'Оплата БАНК 1,2,3,4 кв-лы 2023'!D63+'Оплата БАНК 1,2,3,4 кв-лы 2023'!E63+'Оплата БАНК 1,2,3,4 кв-лы 2023'!C103+'Оплата БАНК 1,2,3,4 кв-лы 2023'!B103</f>
        <v>463451.43000000005</v>
      </c>
      <c r="U32" s="952">
        <f>'Оплата БАНК 1,2,3,4 кв-лы 2023'!D103+'Оплата БАНК 1,2,3,4 кв-лы 2023'!E103+'Оплата БАНК 1,2,3,4 кв-лы 2023'!C138+'Оплата БАНК 1,2,3,4 кв-лы 2023'!B138</f>
        <v>250923.9</v>
      </c>
      <c r="V32" s="1429">
        <f>'Оплата БАНК 1,2,3,4 кв-лы 2023'!D138+'Оплата БАНК 1,2,3,4 кв-лы 2023'!E138+'Оплата БАНК 1,2,3,4 кв-лы 2023'!G138</f>
        <v>178993.99000000002</v>
      </c>
      <c r="W32" s="696">
        <f>78707.73+25065.99</f>
        <v>103773.72</v>
      </c>
      <c r="X32" s="1262"/>
      <c r="Y32" s="1261">
        <f>3000000</f>
        <v>3000000</v>
      </c>
      <c r="Z32" s="1261"/>
      <c r="AA32" s="1269">
        <f>P32+S32-X32-3990000+T32+Q32+W32+U32+V32+990000</f>
        <v>2196193.289999999</v>
      </c>
      <c r="AB32" s="696"/>
      <c r="AC32" s="881"/>
    </row>
    <row r="33" spans="1:29" ht="30.75" customHeight="1">
      <c r="A33" s="323" t="s">
        <v>119</v>
      </c>
      <c r="B33" s="1461" t="s">
        <v>187</v>
      </c>
      <c r="C33" s="841"/>
      <c r="D33" s="883"/>
      <c r="E33" s="884">
        <f>SUM(E6:E30)</f>
        <v>30667258.110000003</v>
      </c>
      <c r="F33" s="881"/>
      <c r="G33" s="49"/>
      <c r="H33" s="49"/>
      <c r="I33" s="49"/>
      <c r="J33" s="49"/>
      <c r="K33" s="49"/>
      <c r="L33" s="49"/>
      <c r="M33" s="960"/>
      <c r="N33" s="815"/>
      <c r="O33" s="1117"/>
      <c r="P33" s="1225"/>
      <c r="Q33" s="41"/>
      <c r="R33" s="41"/>
      <c r="S33" s="1224">
        <f>SUM(S6:S32)</f>
        <v>3488242.7399999998</v>
      </c>
      <c r="T33" s="1156">
        <f>SUM(T6:T32)</f>
        <v>3745555.039999999</v>
      </c>
      <c r="U33" s="1156">
        <f>SUM(U6:U32)</f>
        <v>3501208.95</v>
      </c>
      <c r="V33" s="1224">
        <f>SUM(V6:V32)</f>
        <v>2522260.4200000004</v>
      </c>
      <c r="W33" s="1351"/>
      <c r="X33" s="41"/>
      <c r="Y33" s="41"/>
      <c r="Z33" s="41"/>
      <c r="AA33" s="1156">
        <f>SUM(AA6:AA32)</f>
        <v>22573487.9</v>
      </c>
      <c r="AB33" s="41"/>
      <c r="AC33" s="320"/>
    </row>
    <row r="34" spans="1:2" ht="15">
      <c r="A34" s="567"/>
      <c r="B34" s="568"/>
    </row>
    <row r="35" spans="1:2" ht="15">
      <c r="A35" s="567"/>
      <c r="B35" s="567"/>
    </row>
    <row r="36" spans="1:2" ht="15">
      <c r="A36" s="567"/>
      <c r="B36" s="567"/>
    </row>
    <row r="37" spans="1:2" ht="15">
      <c r="A37" s="567"/>
      <c r="B37" s="567"/>
    </row>
    <row r="38" spans="1:2" ht="15">
      <c r="A38" s="567"/>
      <c r="B38" s="567"/>
    </row>
    <row r="39" spans="1:2" ht="15">
      <c r="A39" s="567"/>
      <c r="B39" s="567"/>
    </row>
    <row r="40" spans="1:2" ht="15">
      <c r="A40" s="567"/>
      <c r="B40" s="567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portrait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2016-12-12T06:00:18Z</cp:lastPrinted>
  <dcterms:created xsi:type="dcterms:W3CDTF">2006-09-28T05:33:49Z</dcterms:created>
  <dcterms:modified xsi:type="dcterms:W3CDTF">2024-02-07T01:11:34Z</dcterms:modified>
  <cp:category/>
  <cp:version/>
  <cp:contentType/>
  <cp:contentStatus/>
</cp:coreProperties>
</file>